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28" windowHeight="9972" activeTab="0"/>
  </bookViews>
  <sheets>
    <sheet name="2021" sheetId="1" r:id="rId1"/>
  </sheets>
  <definedNames>
    <definedName name="_xlnm.Print_Area" localSheetId="0">'2021'!$A$1:$AB$229</definedName>
  </definedNames>
  <calcPr fullCalcOnLoad="1" refMode="R1C1"/>
</workbook>
</file>

<file path=xl/sharedStrings.xml><?xml version="1.0" encoding="utf-8"?>
<sst xmlns="http://schemas.openxmlformats.org/spreadsheetml/2006/main" count="1385" uniqueCount="295">
  <si>
    <t xml:space="preserve">  Приложение 4               </t>
  </si>
  <si>
    <t xml:space="preserve">                                                        ТОО "Қызылжар су" услуги по подаче воды по магистральным трубопроводам и распределительным сетям по отводу и очистке сточных вод </t>
  </si>
  <si>
    <t>№ п/п</t>
  </si>
  <si>
    <t>Информация о плановых и фактических объемах предоставления регулируемых услуг (товаров, работ)</t>
  </si>
  <si>
    <t>Период предоставления услуги в рамках инвестиционной программы</t>
  </si>
  <si>
    <t>Отчет о прибылях и убытках</t>
  </si>
  <si>
    <t>Сумма инвестиционной программы (проекты), тыс.тенге</t>
  </si>
  <si>
    <t>Информация о фактических условиях и размерах финансирования инвестиционной программы (проекта) тыс.тенге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</si>
  <si>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</si>
  <si>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</si>
  <si>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</t>
  </si>
  <si>
    <t>Наименование регулируемых услуг (товаров, работ) и обслуживаемая территория</t>
  </si>
  <si>
    <t>Наименование мероприятий</t>
  </si>
  <si>
    <t>Ед. изм.</t>
  </si>
  <si>
    <t>Количество в натуральных показателях</t>
  </si>
  <si>
    <t>план</t>
  </si>
  <si>
    <t>факт</t>
  </si>
  <si>
    <t xml:space="preserve">отклонение 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</si>
  <si>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</si>
  <si>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</si>
  <si>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</si>
  <si>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</si>
  <si>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</si>
  <si>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</si>
  <si>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</si>
  <si>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 ед.на 1 км, по годам реализации в зависимости от утвержденной инвестиционной программы (проекта)</t>
  </si>
  <si>
    <t>Амортизация</t>
  </si>
  <si>
    <t>факт прошлого года</t>
  </si>
  <si>
    <t>факт текущего года</t>
  </si>
  <si>
    <t xml:space="preserve">план </t>
  </si>
  <si>
    <t>ТОО "Қызылжар су" услуги по подаче воды по магистральным трубопроводам и распределительным сетям по отводу и очистке сточных вод г.Петропавловск</t>
  </si>
  <si>
    <t>Водопроводные сети</t>
  </si>
  <si>
    <t>м</t>
  </si>
  <si>
    <t>шт</t>
  </si>
  <si>
    <t>Канализационные сети</t>
  </si>
  <si>
    <t>Машины и оборудование</t>
  </si>
  <si>
    <t xml:space="preserve">прибыль </t>
  </si>
  <si>
    <t>Модернизация и реконструкция систем водоснабжения и водоотведения</t>
  </si>
  <si>
    <t>Итого по водопроводным сетям:</t>
  </si>
  <si>
    <t>Итого по канализационным сетям:</t>
  </si>
  <si>
    <t>Итого по модернизации и реконструкции систем водоснабжения и водоотведения</t>
  </si>
  <si>
    <t>2</t>
  </si>
  <si>
    <t>3</t>
  </si>
  <si>
    <t>4</t>
  </si>
  <si>
    <t>5</t>
  </si>
  <si>
    <t>7</t>
  </si>
  <si>
    <t>8</t>
  </si>
  <si>
    <t>Итого:</t>
  </si>
  <si>
    <t>-</t>
  </si>
  <si>
    <t>Насосные станции</t>
  </si>
  <si>
    <t>Приобретение компьютерной и орг.техники</t>
  </si>
  <si>
    <t>Приобретение основных средств (прочее)</t>
  </si>
  <si>
    <t>1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</si>
  <si>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</si>
  <si>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</si>
  <si>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</si>
  <si>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</si>
  <si>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</si>
  <si>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</si>
  <si>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</si>
  <si>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</si>
  <si>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</si>
  <si>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</si>
  <si>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</si>
  <si>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</si>
  <si>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</si>
  <si>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</si>
  <si>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</si>
  <si>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</si>
  <si>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</si>
  <si>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</si>
  <si>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</si>
  <si>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</si>
  <si>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</si>
  <si>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</si>
  <si>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</si>
  <si>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</si>
  <si>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</si>
  <si>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</si>
  <si>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</si>
  <si>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</si>
  <si>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</si>
  <si>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</si>
  <si>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</si>
  <si>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</si>
  <si>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</si>
  <si>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</si>
  <si>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</si>
  <si>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</si>
  <si>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</si>
  <si>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</si>
  <si>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Итого по насосным станциям</t>
  </si>
  <si>
    <t>Транспортные средства</t>
  </si>
  <si>
    <t>снижение потерь, аварийности</t>
  </si>
  <si>
    <t>снижение аварийности</t>
  </si>
  <si>
    <t>В связи с производственной необходимостью</t>
  </si>
  <si>
    <t>вода</t>
  </si>
  <si>
    <t>стоки</t>
  </si>
  <si>
    <t>           Информация субъекта естественной монополии  об исполнении инвестиционной программы  (проекта) за 2021 года</t>
  </si>
  <si>
    <t>ул. Урожайной</t>
  </si>
  <si>
    <t>ул. Студенческая, 2</t>
  </si>
  <si>
    <t>ул. Базарбаева</t>
  </si>
  <si>
    <t>ул. Зеленая, 20</t>
  </si>
  <si>
    <t>ул. Парковая, 187</t>
  </si>
  <si>
    <t>ул. Кожаберген Жырау</t>
  </si>
  <si>
    <t>ул. Жукова, 11</t>
  </si>
  <si>
    <t>Школа №7</t>
  </si>
  <si>
    <t xml:space="preserve">ул. Брусиловского к зданию школы №7 </t>
  </si>
  <si>
    <t>ул. Жабаева, 294</t>
  </si>
  <si>
    <t>ул. Кожаберген Жырау (район Гедеона)</t>
  </si>
  <si>
    <t>ул. Космонавтов (район авиодуга)</t>
  </si>
  <si>
    <t>ул.Вознесенская от ул.С.Муканова до ул.Попова</t>
  </si>
  <si>
    <t>ул.Матвеева от школы №44 до 2пр.Михеева</t>
  </si>
  <si>
    <t>ул. Чайковского, 13А</t>
  </si>
  <si>
    <t>3 пер.Кузнечный от ул.Кокшетауская до ул.Театральная</t>
  </si>
  <si>
    <t>ул.Островского от ул.Красина до ул.Союзная</t>
  </si>
  <si>
    <t>ул.Горького, 209</t>
  </si>
  <si>
    <t>ул.Интернациональная, 76</t>
  </si>
  <si>
    <t>ул.Мусрепова от ул.Малая до ул.Мусрепова, 60</t>
  </si>
  <si>
    <t>ул.Труда (р-он элеватора Султан)</t>
  </si>
  <si>
    <t>ул.Берёзовая, 2</t>
  </si>
  <si>
    <t>ул. Н.Назарбаева, 100</t>
  </si>
  <si>
    <t>ул.Пушкина от ул.Крепостная до ул.Ишимская</t>
  </si>
  <si>
    <t>ул.Пушкина от ул.Ишимская до ул.Пржвальского</t>
  </si>
  <si>
    <t>ул.Букетова, 48</t>
  </si>
  <si>
    <t>ул.Ульянова 55</t>
  </si>
  <si>
    <t>ул.Гоголя 54 по ул.Кеншинбаева до ул.Волочаевская</t>
  </si>
  <si>
    <t>в районе 2629 км</t>
  </si>
  <si>
    <t>ул.Айыртауская (район музыкальной школы)</t>
  </si>
  <si>
    <t>ул. Бирлик</t>
  </si>
  <si>
    <t>ул. Ахременко, 18</t>
  </si>
  <si>
    <t>ул. Тимирязева</t>
  </si>
  <si>
    <t>ул. Сатпаева, 50</t>
  </si>
  <si>
    <t>ул. Бирлик (р-он ЕС 164/6)</t>
  </si>
  <si>
    <t>ул. Шухова, 6</t>
  </si>
  <si>
    <t>ул. 3-я Кирпичная</t>
  </si>
  <si>
    <t>ул. Букетова, 2</t>
  </si>
  <si>
    <t>ул. Букетова, 3</t>
  </si>
  <si>
    <t>ул. Брусиловского, 5</t>
  </si>
  <si>
    <t>ул.Партизанская, 158</t>
  </si>
  <si>
    <t>ул.Партизанская, 158Д</t>
  </si>
  <si>
    <t>ул.Володарского, 79</t>
  </si>
  <si>
    <t>ул.М.Ауэзова, 168</t>
  </si>
  <si>
    <t>ул. Алтынсарина, 194</t>
  </si>
  <si>
    <t>ул. Абая, 94</t>
  </si>
  <si>
    <t>ул. Астана от ул. К.Казахстана до ул. К.Сутюшева</t>
  </si>
  <si>
    <t>ул. Токсан би от ул. Алматинская до ул. Чайковского</t>
  </si>
  <si>
    <t>ул.М.Ауэзова, 150-152</t>
  </si>
  <si>
    <t>ул.Рижская, 7</t>
  </si>
  <si>
    <t>ул.Рижская, 3</t>
  </si>
  <si>
    <t>ул.Рижская, 1Д</t>
  </si>
  <si>
    <t>ул.Букетова, 30</t>
  </si>
  <si>
    <t>ул.Чайковского от ул.Ауэзова до ул.Токсан би</t>
  </si>
  <si>
    <t>Реконструкция северного, напорного, канализационного коллектора</t>
  </si>
  <si>
    <t>прокладка канализации к зданию РММ</t>
  </si>
  <si>
    <t>ул. К.Сутюшева, 17</t>
  </si>
  <si>
    <t>ул. Жукова, 9</t>
  </si>
  <si>
    <t>ул.Новая, 73</t>
  </si>
  <si>
    <t>ул.Новая, 75</t>
  </si>
  <si>
    <t>ул.Новая, 77</t>
  </si>
  <si>
    <t>ул.Новая, 79</t>
  </si>
  <si>
    <t>ул.Я.Гашека от ул.Валиханова до ул.Мира</t>
  </si>
  <si>
    <t>Приобретение промывочного клапана на КНС</t>
  </si>
  <si>
    <t>Приобретение трансформатора на НС-1</t>
  </si>
  <si>
    <t>Приобретение насоса на КНС №8</t>
  </si>
  <si>
    <t>комплект</t>
  </si>
  <si>
    <t>Реконструкция ВОС (оплата ПСД)</t>
  </si>
  <si>
    <t>Система автоматического оповещения газоанализаторов на складе хлора ВОС</t>
  </si>
  <si>
    <t xml:space="preserve">услуга </t>
  </si>
  <si>
    <t>Фотоколориметр (ИП Ржавина)</t>
  </si>
  <si>
    <t>Шкаф серверный (ТОО СК Телеком Азия)</t>
  </si>
  <si>
    <t>Телевизор (ТОО Мечта Маркет)</t>
  </si>
  <si>
    <t>Генератор бензиновый (ТОО Патриот СКО)</t>
  </si>
  <si>
    <t>Видеорегистратор (ТОО Планета-Связи)</t>
  </si>
  <si>
    <t>Электротельфер (ИП Рудакова)</t>
  </si>
  <si>
    <t>Газоанализатор, сенсор хлора (ООО Информаналитика)</t>
  </si>
  <si>
    <t>Видеокамера, регистратор (ТОО Планета связи)</t>
  </si>
  <si>
    <t>Работа по монтажу пожарной сигнализации на НС-1 (ТОО СевКазЛидер)</t>
  </si>
  <si>
    <t>Рефлектрометр (ИП Бекбулатов)</t>
  </si>
  <si>
    <t>Газоанализатор (ТОО Проманалит)</t>
  </si>
  <si>
    <t>Асфальтоукладчик (ИП Тулентаев)</t>
  </si>
  <si>
    <t>Газоанализатор (ООО Информаналитика)</t>
  </si>
  <si>
    <t>Воздушный компрессор (ИП Аксарин)</t>
  </si>
  <si>
    <t>Видеокамера (ТОО Планета связи)</t>
  </si>
  <si>
    <t>Аквадистиллятор (Ржавина)</t>
  </si>
  <si>
    <t>Осцилограф (ТОО IT Pro Master)</t>
  </si>
  <si>
    <t>Вентилятор (ИП Рахметова)</t>
  </si>
  <si>
    <t>Панель управления 2-мя насосами (ТОО Топстандарт)</t>
  </si>
  <si>
    <t>Процессор (ТОО Северный регион)</t>
  </si>
  <si>
    <t>Принтер струйный (ТОО Компания CopyLand)</t>
  </si>
  <si>
    <t>Видеокамера (ТОО Logitex)</t>
  </si>
  <si>
    <t>Турникет (ТОО Logitex)</t>
  </si>
  <si>
    <t>Автобус ПАЗ 320530-02</t>
  </si>
  <si>
    <t>Насос 1, 1ПТ-25Д1М2 (ТК Комплект)</t>
  </si>
  <si>
    <t>ул.Пушкина от ул.Зтулина до ул.Пушкина</t>
  </si>
  <si>
    <t>46</t>
  </si>
  <si>
    <t>47</t>
  </si>
  <si>
    <t>ул.Казахстанской правды, 124</t>
  </si>
  <si>
    <t>ул.Болатбаева, 30</t>
  </si>
  <si>
    <t>48</t>
  </si>
  <si>
    <t>49</t>
  </si>
  <si>
    <t>ул.Букетова, 53</t>
  </si>
  <si>
    <t>50</t>
  </si>
  <si>
    <t>Здания</t>
  </si>
  <si>
    <t>Рация ( ИП Прудников)</t>
  </si>
  <si>
    <t>Электроплита (ТОО Квазар Сервис)</t>
  </si>
  <si>
    <t>Пылесос для оргтехники (ИП Дауренбеков)</t>
  </si>
  <si>
    <t>Пылесос для тонера (ТОО Риф-Север)</t>
  </si>
  <si>
    <t>Дрон (ТОО Технодом)</t>
  </si>
  <si>
    <t>Сварочный аппарат (ИП Гайфулин)</t>
  </si>
  <si>
    <t>Газонокосилка (ТОО Патриот-СКО)</t>
  </si>
  <si>
    <t>Кондиционер (ТОО Med-M)</t>
  </si>
  <si>
    <t>Станок для заточки (ТОО Патриот-СКО)</t>
  </si>
  <si>
    <t>Холодильник (ТОО Квазар-Сервис)</t>
  </si>
  <si>
    <t>Шкаф холодильный (ИП Шальковская)</t>
  </si>
  <si>
    <t>Холодильник (ИП Шальковская)</t>
  </si>
  <si>
    <t>Видеопроектор (ИП Снабженец)</t>
  </si>
  <si>
    <t>Таль ручная (ИП Агапов)</t>
  </si>
  <si>
    <t>Анализатор (ООО Новые технологии)</t>
  </si>
  <si>
    <t>Дизельный генератор (Адиева М.Ж.)</t>
  </si>
  <si>
    <t>Стиральная машина (ТОО Квазар-сервис)</t>
  </si>
  <si>
    <t>Видеокамера (ТОО Clever Trade)</t>
  </si>
  <si>
    <t>Таль ручная и тележка (ТОО Сталь Сервис)</t>
  </si>
  <si>
    <t>Монитор (ТОО Планета-Связи)</t>
  </si>
  <si>
    <t>Моноблок (ТОО Эксклюзив СК)</t>
  </si>
  <si>
    <t>Пульт (ИП Дауренбеков)</t>
  </si>
  <si>
    <t>Системный блок (ТОО IT-ProMaster)</t>
  </si>
  <si>
    <t>Моноблок (ТОО IT-ProMaster)</t>
  </si>
  <si>
    <t>Монитор (ИП Снабженец)</t>
  </si>
  <si>
    <t>3D принтер (ИП Снабженец)</t>
  </si>
  <si>
    <t>Планшет (ТОО IT-ProMaster)</t>
  </si>
  <si>
    <t>МФУ лазерный (ТОО IT-ProMaster)</t>
  </si>
  <si>
    <t>Компьютер в сборе (ТОО IT-ProMaster)</t>
  </si>
  <si>
    <t>Сканер 3D (ИП Снабженец)</t>
  </si>
  <si>
    <t>Корпус системного блока (ТОО Nurl-asyl)</t>
  </si>
  <si>
    <t>Системный блок (Нетесов)</t>
  </si>
  <si>
    <t>Переноска с триногой (ИП Агапов)</t>
  </si>
  <si>
    <t>Видеодомофон (ТОО Система безопасности)</t>
  </si>
  <si>
    <t>Телефон сотовый (ТОО Мечта маркет)</t>
  </si>
  <si>
    <t>Диван (ИП Маслов)</t>
  </si>
  <si>
    <t>Журнальный столик (ИП Ислямов)</t>
  </si>
  <si>
    <t>Штатив (ТОО KasPremier)</t>
  </si>
  <si>
    <t>Микрофон, стойка, контролер (ИП Дауренбеков)</t>
  </si>
  <si>
    <t>Стол-тумба (ИП Сактаганов)</t>
  </si>
  <si>
    <t>Стул (ТОО Zeta)</t>
  </si>
  <si>
    <t>Радиотелефон (ТОО Мечта маркет)</t>
  </si>
  <si>
    <t>Караоке-чемодан (ИП Сачкова)</t>
  </si>
  <si>
    <t>Шкаф (ИП Бондаренко)</t>
  </si>
  <si>
    <t>Шкаф, полочка (ИП Бондаренко)</t>
  </si>
  <si>
    <t>Телефонный аппарат (ТОО IT-ProMasre)</t>
  </si>
  <si>
    <t>Стол теннисный (ИП Загаевская)</t>
  </si>
  <si>
    <t>Кресло, стул (ИП Исмагамбетова)</t>
  </si>
  <si>
    <t>Двигатель (ИП Уразбеков)</t>
  </si>
  <si>
    <t>Агрегат насосный (ТК Комплект)</t>
  </si>
  <si>
    <t>Ремонт ДВС Хёндай (ТОО СфераАвто)</t>
  </si>
  <si>
    <t>услуга</t>
  </si>
  <si>
    <t>Ремонт ДВС Камацу (ТОО СфераАвто)</t>
  </si>
  <si>
    <t>Ремонт АКПП (ТОО СфераАвто)</t>
  </si>
  <si>
    <t>Ремонт зад.моста (ТОО СфераАвто)</t>
  </si>
  <si>
    <t>Ремонт форсунок (ТОО СфераАвто)</t>
  </si>
  <si>
    <t>Изготовление дверей (ИП Гордиенко)</t>
  </si>
  <si>
    <t>Стеклопакет (ТОО Стильные окна)</t>
  </si>
  <si>
    <t>Ремонт ворот (Мозолев)</t>
  </si>
  <si>
    <t>Изготовление изделий из ПВХ (ТОО Стильные окна)</t>
  </si>
  <si>
    <t>Демонтаж, монтаж ворот (ТОО СевКазЛидер)</t>
  </si>
  <si>
    <t>Ремонт откатных ворот (Мозолев)</t>
  </si>
  <si>
    <t>Аппарат для электромуфтовой сварки (ТОО Wikom)</t>
  </si>
  <si>
    <t>от ул. Лесная-Халтурина  до ул. Б.Баяна</t>
  </si>
  <si>
    <t>Приобретение насоса на НС-1</t>
  </si>
  <si>
    <t>Кронштейн и пр.(ТОО Мечта Маркет)</t>
  </si>
  <si>
    <t>Дверь пассажирская (ТК Комплект)</t>
  </si>
  <si>
    <t>Дверь аварийная (ТК Комплект)</t>
  </si>
  <si>
    <t>ул.Н.Назарбаева, 154</t>
  </si>
  <si>
    <t>ул.Ж.Жабаева, 274</t>
  </si>
  <si>
    <t>ул. Н.Назарбаева - ул.Победы</t>
  </si>
  <si>
    <t>ул.Февральская- ул.Кокшетауская</t>
  </si>
  <si>
    <t>по ул. Ауэзова - ул.Малая</t>
  </si>
  <si>
    <t>ул. Партизанская - ул.Пушкина</t>
  </si>
  <si>
    <t>ул. Гоголя - ул.Алматинская</t>
  </si>
  <si>
    <t>ул. Партизанская - ул.Советская</t>
  </si>
  <si>
    <t>пр. Пионерской - ул.Алтынсарина</t>
  </si>
  <si>
    <t>ул. Гагарина -ул.Ухабова</t>
  </si>
  <si>
    <t>ул.Конституции Казахстана, 5 (маг.Саяхат)</t>
  </si>
  <si>
    <t>ул.Ж.Жабаева, 10</t>
  </si>
  <si>
    <t>пр.Джамбула до ул.Ж.Жабаева, 175</t>
  </si>
  <si>
    <t>ул.Волочаевская по ул.Кеншинбаева до ул.Б.Баяна, 32</t>
  </si>
  <si>
    <t>Приобретение насоса и панель управления КНС "перекачка"</t>
  </si>
  <si>
    <t>Экономия в результате проведения закупок услуги</t>
  </si>
  <si>
    <t>Ранее, объект был объединён в один, при переговорах с подрядчиками объект поделен на два договора</t>
  </si>
  <si>
    <t>Безопасность</t>
  </si>
  <si>
    <t>0.5</t>
  </si>
  <si>
    <t>Прочие основные средства по машинам и оборудованию</t>
  </si>
  <si>
    <t>Прочие основные средства по приобретению компьютерной и орг.техники</t>
  </si>
  <si>
    <t>Прочие основные средства по приобретению основных средств (прочие)</t>
  </si>
  <si>
    <t>Прочие основные средства по транспорту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</si>
</sst>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#,#0&quot;.&quot;0"/>
    <numFmt numFmtId="174" formatCode="#,##0.000"/>
    <numFmt numFmtId="175" formatCode="[$-FC19]d\ mmmm\ yyyy\ &quot;г.&quot;"/>
    <numFmt numFmtId="176" formatCode="0.0"/>
    <numFmt numFmtId="177" formatCode="#,##0.0000"/>
    <numFmt numFmtId="178" formatCode="#,##0.00000"/>
    <numFmt numFmtId="179" formatCode="_-* ###,0&quot;.&quot;00_р_._-;\-* ###,0&quot;.&quot;00_р_._-;_-* &quot;-&quot;??_р_._-;_-@_-"/>
    <numFmt numFmtId="180" formatCode="0.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57" fillId="0" borderId="0" xfId="0" applyFont="1" applyAlignment="1">
      <alignment/>
    </xf>
    <xf numFmtId="0" fontId="58" fillId="0" borderId="0" xfId="52" applyFont="1" applyAlignment="1">
      <alignment horizontal="center" vertical="center"/>
      <protection/>
    </xf>
    <xf numFmtId="0" fontId="59" fillId="0" borderId="0" xfId="52" applyFont="1" applyBorder="1" applyAlignment="1">
      <alignment horizontal="center" vertical="center"/>
      <protection/>
    </xf>
    <xf numFmtId="3" fontId="59" fillId="0" borderId="0" xfId="52" applyNumberFormat="1" applyFont="1" applyFill="1" applyAlignment="1">
      <alignment horizontal="center" vertical="center"/>
      <protection/>
    </xf>
    <xf numFmtId="4" fontId="59" fillId="0" borderId="0" xfId="52" applyNumberFormat="1" applyFont="1" applyAlignment="1">
      <alignment horizontal="center" vertical="center"/>
      <protection/>
    </xf>
    <xf numFmtId="4" fontId="60" fillId="0" borderId="0" xfId="52" applyNumberFormat="1" applyFont="1" applyAlignment="1">
      <alignment horizontal="center" vertical="center"/>
      <protection/>
    </xf>
    <xf numFmtId="0" fontId="2" fillId="0" borderId="0" xfId="52" applyFont="1" applyFill="1">
      <alignment/>
      <protection/>
    </xf>
    <xf numFmtId="0" fontId="59" fillId="0" borderId="0" xfId="52" applyFont="1" applyFill="1" applyBorder="1">
      <alignment/>
      <protection/>
    </xf>
    <xf numFmtId="3" fontId="59" fillId="0" borderId="0" xfId="52" applyNumberFormat="1" applyFont="1" applyFill="1" applyBorder="1">
      <alignment/>
      <protection/>
    </xf>
    <xf numFmtId="3" fontId="59" fillId="0" borderId="0" xfId="52" applyNumberFormat="1" applyFont="1" applyFill="1" applyBorder="1" applyAlignment="1">
      <alignment horizontal="center" vertical="center"/>
      <protection/>
    </xf>
    <xf numFmtId="0" fontId="59" fillId="0" borderId="0" xfId="52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4" fontId="59" fillId="0" borderId="0" xfId="52" applyNumberFormat="1" applyFont="1" applyFill="1">
      <alignment/>
      <protection/>
    </xf>
    <xf numFmtId="4" fontId="60" fillId="0" borderId="0" xfId="52" applyNumberFormat="1" applyFont="1" applyFill="1">
      <alignment/>
      <protection/>
    </xf>
    <xf numFmtId="0" fontId="57" fillId="33" borderId="0" xfId="0" applyFont="1" applyFill="1" applyAlignment="1">
      <alignment/>
    </xf>
    <xf numFmtId="3" fontId="59" fillId="0" borderId="10" xfId="52" applyNumberFormat="1" applyFont="1" applyFill="1" applyBorder="1" applyAlignment="1">
      <alignment horizontal="center" vertical="center" wrapText="1"/>
      <protection/>
    </xf>
    <xf numFmtId="3" fontId="59" fillId="33" borderId="10" xfId="52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3" fontId="59" fillId="0" borderId="11" xfId="52" applyNumberFormat="1" applyFont="1" applyFill="1" applyBorder="1" applyAlignment="1">
      <alignment horizontal="center" vertical="center" wrapText="1"/>
      <protection/>
    </xf>
    <xf numFmtId="3" fontId="61" fillId="0" borderId="0" xfId="52" applyNumberFormat="1" applyFont="1" applyFill="1" applyBorder="1" applyAlignment="1">
      <alignment horizontal="center"/>
      <protection/>
    </xf>
    <xf numFmtId="0" fontId="62" fillId="0" borderId="10" xfId="52" applyFont="1" applyFill="1" applyBorder="1" applyAlignment="1">
      <alignment horizontal="center" vertical="center" wrapText="1"/>
      <protection/>
    </xf>
    <xf numFmtId="3" fontId="63" fillId="0" borderId="10" xfId="52" applyNumberFormat="1" applyFont="1" applyFill="1" applyBorder="1" applyAlignment="1">
      <alignment horizontal="center" vertical="center" wrapText="1"/>
      <protection/>
    </xf>
    <xf numFmtId="172" fontId="5" fillId="33" borderId="10" xfId="52" applyNumberFormat="1" applyFont="1" applyFill="1" applyBorder="1" applyAlignment="1">
      <alignment horizontal="center" vertical="center" wrapText="1"/>
      <protection/>
    </xf>
    <xf numFmtId="172" fontId="64" fillId="0" borderId="10" xfId="52" applyNumberFormat="1" applyFont="1" applyFill="1" applyBorder="1" applyAlignment="1">
      <alignment horizontal="center" vertical="center" wrapText="1"/>
      <protection/>
    </xf>
    <xf numFmtId="173" fontId="6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left" vertical="top" wrapText="1"/>
      <protection/>
    </xf>
    <xf numFmtId="3" fontId="64" fillId="0" borderId="10" xfId="52" applyNumberFormat="1" applyFont="1" applyFill="1" applyBorder="1" applyAlignment="1">
      <alignment horizontal="center" vertical="center" wrapText="1"/>
      <protection/>
    </xf>
    <xf numFmtId="0" fontId="63" fillId="0" borderId="10" xfId="52" applyFont="1" applyFill="1" applyBorder="1" applyAlignment="1">
      <alignment horizontal="center" vertical="center" wrapText="1"/>
      <protection/>
    </xf>
    <xf numFmtId="0" fontId="64" fillId="0" borderId="10" xfId="52" applyFont="1" applyFill="1" applyBorder="1" applyAlignment="1">
      <alignment vertical="center" wrapText="1"/>
      <protection/>
    </xf>
    <xf numFmtId="3" fontId="64" fillId="0" borderId="10" xfId="0" applyNumberFormat="1" applyFont="1" applyFill="1" applyBorder="1" applyAlignment="1">
      <alignment horizontal="center" vertical="center" wrapText="1"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4" fillId="0" borderId="10" xfId="52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62" fillId="0" borderId="10" xfId="52" applyFont="1" applyFill="1" applyBorder="1" applyAlignment="1">
      <alignment horizontal="center" vertical="center" textRotation="90" wrapText="1"/>
      <protection/>
    </xf>
    <xf numFmtId="3" fontId="62" fillId="0" borderId="10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72" fontId="5" fillId="0" borderId="15" xfId="52" applyNumberFormat="1" applyFont="1" applyFill="1" applyBorder="1" applyAlignment="1">
      <alignment horizontal="center" vertical="center" wrapText="1"/>
      <protection/>
    </xf>
    <xf numFmtId="172" fontId="64" fillId="33" borderId="10" xfId="52" applyNumberFormat="1" applyFont="1" applyFill="1" applyBorder="1" applyAlignment="1">
      <alignment horizontal="center" vertical="center" wrapText="1"/>
      <protection/>
    </xf>
    <xf numFmtId="3" fontId="64" fillId="33" borderId="10" xfId="52" applyNumberFormat="1" applyFont="1" applyFill="1" applyBorder="1" applyAlignment="1">
      <alignment horizontal="center" vertical="center" wrapText="1"/>
      <protection/>
    </xf>
    <xf numFmtId="3" fontId="64" fillId="0" borderId="12" xfId="52" applyNumberFormat="1" applyFont="1" applyFill="1" applyBorder="1" applyAlignment="1">
      <alignment horizontal="center" vertical="center" wrapText="1"/>
      <protection/>
    </xf>
    <xf numFmtId="0" fontId="64" fillId="0" borderId="12" xfId="52" applyFont="1" applyFill="1" applyBorder="1" applyAlignment="1">
      <alignment vertical="center" wrapText="1"/>
      <protection/>
    </xf>
    <xf numFmtId="0" fontId="64" fillId="0" borderId="0" xfId="5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62" fillId="0" borderId="10" xfId="52" applyNumberFormat="1" applyFont="1" applyFill="1" applyBorder="1" applyAlignment="1">
      <alignment horizontal="center" vertical="center" wrapText="1"/>
      <protection/>
    </xf>
    <xf numFmtId="3" fontId="60" fillId="0" borderId="0" xfId="52" applyNumberFormat="1" applyFont="1" applyFill="1" applyAlignment="1">
      <alignment vertical="center"/>
      <protection/>
    </xf>
    <xf numFmtId="3" fontId="65" fillId="0" borderId="0" xfId="52" applyNumberFormat="1" applyFont="1" applyFill="1" applyAlignment="1">
      <alignment vertical="center"/>
      <protection/>
    </xf>
    <xf numFmtId="0" fontId="65" fillId="0" borderId="0" xfId="0" applyFont="1" applyFill="1" applyAlignment="1">
      <alignment/>
    </xf>
    <xf numFmtId="3" fontId="65" fillId="0" borderId="0" xfId="0" applyNumberFormat="1" applyFont="1" applyFill="1" applyAlignment="1">
      <alignment/>
    </xf>
    <xf numFmtId="172" fontId="65" fillId="0" borderId="0" xfId="0" applyNumberFormat="1" applyFont="1" applyFill="1" applyAlignment="1">
      <alignment/>
    </xf>
    <xf numFmtId="172" fontId="66" fillId="0" borderId="0" xfId="0" applyNumberFormat="1" applyFont="1" applyFill="1" applyAlignment="1">
      <alignment horizontal="center"/>
    </xf>
    <xf numFmtId="3" fontId="61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9" applyNumberFormat="1" applyFont="1" applyFill="1" applyBorder="1" applyAlignment="1">
      <alignment horizontal="center" vertical="center" wrapText="1"/>
    </xf>
    <xf numFmtId="172" fontId="59" fillId="0" borderId="10" xfId="52" applyNumberFormat="1" applyFont="1" applyFill="1" applyBorder="1" applyAlignment="1">
      <alignment horizontal="center" vertical="center" wrapText="1"/>
      <protection/>
    </xf>
    <xf numFmtId="0" fontId="60" fillId="0" borderId="10" xfId="52" applyFont="1" applyFill="1" applyBorder="1" applyAlignment="1">
      <alignment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</xf>
    <xf numFmtId="0" fontId="59" fillId="0" borderId="10" xfId="52" applyFont="1" applyFill="1" applyBorder="1" applyAlignment="1">
      <alignment vertical="center" wrapText="1"/>
      <protection/>
    </xf>
    <xf numFmtId="0" fontId="59" fillId="33" borderId="10" xfId="52" applyFont="1" applyFill="1" applyBorder="1" applyAlignment="1">
      <alignment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59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172" fontId="65" fillId="0" borderId="10" xfId="52" applyNumberFormat="1" applyFont="1" applyFill="1" applyBorder="1" applyAlignment="1">
      <alignment horizontal="left" vertical="center" wrapText="1"/>
      <protection/>
    </xf>
    <xf numFmtId="49" fontId="67" fillId="0" borderId="10" xfId="52" applyNumberFormat="1" applyFont="1" applyFill="1" applyBorder="1" applyAlignment="1">
      <alignment horizontal="center" vertical="center" wrapText="1"/>
      <protection/>
    </xf>
    <xf numFmtId="3" fontId="65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172" fontId="4" fillId="0" borderId="10" xfId="52" applyNumberFormat="1" applyFont="1" applyFill="1" applyBorder="1" applyAlignment="1">
      <alignment horizontal="center" vertical="center" wrapText="1"/>
      <protection/>
    </xf>
    <xf numFmtId="186" fontId="65" fillId="0" borderId="10" xfId="52" applyNumberFormat="1" applyFont="1" applyFill="1" applyBorder="1" applyAlignment="1">
      <alignment horizontal="center" vertical="center" wrapText="1"/>
      <protection/>
    </xf>
    <xf numFmtId="172" fontId="8" fillId="0" borderId="10" xfId="52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/>
    </xf>
    <xf numFmtId="0" fontId="68" fillId="0" borderId="0" xfId="0" applyFont="1" applyFill="1" applyAlignment="1">
      <alignment/>
    </xf>
    <xf numFmtId="3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172" fontId="8" fillId="0" borderId="15" xfId="52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9" fillId="0" borderId="10" xfId="0" applyNumberFormat="1" applyFont="1" applyFill="1" applyBorder="1" applyAlignment="1">
      <alignment horizontal="center" vertical="top" wrapText="1"/>
    </xf>
    <xf numFmtId="3" fontId="65" fillId="0" borderId="10" xfId="52" applyNumberFormat="1" applyFont="1" applyFill="1" applyBorder="1" applyAlignment="1">
      <alignment horizontal="center" vertical="center"/>
      <protection/>
    </xf>
    <xf numFmtId="3" fontId="59" fillId="0" borderId="11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2" fillId="0" borderId="13" xfId="52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64" fillId="0" borderId="11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0" fontId="64" fillId="0" borderId="13" xfId="52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49" fontId="69" fillId="0" borderId="10" xfId="52" applyNumberFormat="1" applyFont="1" applyFill="1" applyBorder="1" applyAlignment="1">
      <alignment horizontal="center" vertical="center" wrapText="1"/>
      <protection/>
    </xf>
    <xf numFmtId="49" fontId="69" fillId="0" borderId="12" xfId="52" applyNumberFormat="1" applyFont="1" applyFill="1" applyBorder="1" applyAlignment="1">
      <alignment horizontal="center" vertical="center" wrapText="1"/>
      <protection/>
    </xf>
    <xf numFmtId="3" fontId="64" fillId="0" borderId="10" xfId="0" applyNumberFormat="1" applyFont="1" applyFill="1" applyBorder="1" applyAlignment="1">
      <alignment horizontal="center" vertical="top" wrapText="1"/>
    </xf>
    <xf numFmtId="3" fontId="64" fillId="0" borderId="10" xfId="52" applyNumberFormat="1" applyFont="1" applyFill="1" applyBorder="1" applyAlignment="1">
      <alignment horizontal="center" vertical="top" wrapText="1"/>
      <protection/>
    </xf>
    <xf numFmtId="0" fontId="64" fillId="0" borderId="10" xfId="52" applyFont="1" applyFill="1" applyBorder="1" applyAlignment="1">
      <alignment horizontal="center" vertical="top" wrapText="1"/>
      <protection/>
    </xf>
    <xf numFmtId="3" fontId="64" fillId="0" borderId="13" xfId="0" applyNumberFormat="1" applyFont="1" applyFill="1" applyBorder="1" applyAlignment="1">
      <alignment horizontal="center" vertical="top" wrapText="1"/>
    </xf>
    <xf numFmtId="3" fontId="63" fillId="0" borderId="10" xfId="52" applyNumberFormat="1" applyFont="1" applyFill="1" applyBorder="1" applyAlignment="1">
      <alignment horizontal="center" vertical="top" wrapText="1"/>
      <protection/>
    </xf>
    <xf numFmtId="3" fontId="64" fillId="0" borderId="10" xfId="0" applyNumberFormat="1" applyFont="1" applyFill="1" applyBorder="1" applyAlignment="1">
      <alignment horizontal="center" vertical="top"/>
    </xf>
    <xf numFmtId="172" fontId="5" fillId="0" borderId="10" xfId="52" applyNumberFormat="1" applyFont="1" applyFill="1" applyBorder="1" applyAlignment="1">
      <alignment horizontal="center" vertical="top" wrapText="1"/>
      <protection/>
    </xf>
    <xf numFmtId="172" fontId="64" fillId="0" borderId="10" xfId="52" applyNumberFormat="1" applyFont="1" applyFill="1" applyBorder="1" applyAlignment="1">
      <alignment horizontal="center" vertical="top" wrapText="1"/>
      <protection/>
    </xf>
    <xf numFmtId="3" fontId="64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3" fontId="65" fillId="0" borderId="10" xfId="52" applyNumberFormat="1" applyFont="1" applyFill="1" applyBorder="1" applyAlignment="1">
      <alignment horizontal="center" vertical="top"/>
      <protection/>
    </xf>
    <xf numFmtId="3" fontId="70" fillId="0" borderId="10" xfId="0" applyNumberFormat="1" applyFont="1" applyFill="1" applyBorder="1" applyAlignment="1">
      <alignment horizontal="center" vertical="center" wrapText="1"/>
    </xf>
    <xf numFmtId="0" fontId="65" fillId="0" borderId="10" xfId="52" applyFont="1" applyFill="1" applyBorder="1" applyAlignment="1">
      <alignment horizontal="center" vertical="center"/>
      <protection/>
    </xf>
    <xf numFmtId="0" fontId="67" fillId="0" borderId="10" xfId="52" applyFont="1" applyFill="1" applyBorder="1" applyAlignment="1">
      <alignment vertical="top" wrapText="1"/>
      <protection/>
    </xf>
    <xf numFmtId="0" fontId="6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3" fontId="61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52" applyFont="1" applyFill="1" applyAlignment="1">
      <alignment vertical="top"/>
      <protection/>
    </xf>
    <xf numFmtId="0" fontId="62" fillId="0" borderId="10" xfId="52" applyFont="1" applyFill="1" applyBorder="1" applyAlignment="1">
      <alignment horizontal="center" vertical="top" wrapText="1"/>
      <protection/>
    </xf>
    <xf numFmtId="0" fontId="63" fillId="0" borderId="10" xfId="52" applyFont="1" applyFill="1" applyBorder="1" applyAlignment="1">
      <alignment horizontal="center" vertical="top" wrapText="1"/>
      <protection/>
    </xf>
    <xf numFmtId="0" fontId="59" fillId="0" borderId="10" xfId="52" applyFont="1" applyFill="1" applyBorder="1" applyAlignment="1">
      <alignment horizontal="center" vertical="top" wrapText="1"/>
      <protection/>
    </xf>
    <xf numFmtId="0" fontId="65" fillId="0" borderId="10" xfId="52" applyFont="1" applyFill="1" applyBorder="1" applyAlignment="1">
      <alignment horizontal="center" vertical="top" wrapText="1"/>
      <protection/>
    </xf>
    <xf numFmtId="0" fontId="64" fillId="0" borderId="10" xfId="0" applyFont="1" applyFill="1" applyBorder="1" applyAlignment="1">
      <alignment vertical="top"/>
    </xf>
    <xf numFmtId="0" fontId="59" fillId="0" borderId="0" xfId="52" applyFont="1" applyFill="1" applyBorder="1" applyAlignment="1">
      <alignment vertical="top"/>
      <protection/>
    </xf>
    <xf numFmtId="0" fontId="57" fillId="0" borderId="0" xfId="0" applyFont="1" applyFill="1" applyAlignment="1">
      <alignment vertical="top"/>
    </xf>
    <xf numFmtId="4" fontId="59" fillId="0" borderId="0" xfId="52" applyNumberFormat="1" applyFont="1" applyFill="1" applyAlignment="1">
      <alignment vertical="top"/>
      <protection/>
    </xf>
    <xf numFmtId="4" fontId="60" fillId="0" borderId="0" xfId="52" applyNumberFormat="1" applyFont="1" applyFill="1" applyAlignment="1">
      <alignment vertical="top"/>
      <protection/>
    </xf>
    <xf numFmtId="3" fontId="10" fillId="34" borderId="10" xfId="52" applyNumberFormat="1" applyFont="1" applyFill="1" applyBorder="1" applyAlignment="1">
      <alignment horizontal="center" vertical="center" wrapText="1"/>
      <protection/>
    </xf>
    <xf numFmtId="0" fontId="62" fillId="0" borderId="10" xfId="52" applyFont="1" applyFill="1" applyBorder="1" applyAlignment="1">
      <alignment horizontal="center" vertical="center" wrapText="1"/>
      <protection/>
    </xf>
    <xf numFmtId="0" fontId="65" fillId="0" borderId="0" xfId="52" applyFont="1" applyFill="1" applyBorder="1">
      <alignment/>
      <protection/>
    </xf>
    <xf numFmtId="1" fontId="3" fillId="0" borderId="10" xfId="0" applyNumberFormat="1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horizontal="center"/>
    </xf>
    <xf numFmtId="3" fontId="65" fillId="34" borderId="10" xfId="52" applyNumberFormat="1" applyFont="1" applyFill="1" applyBorder="1" applyAlignment="1">
      <alignment horizontal="center" vertical="center"/>
      <protection/>
    </xf>
    <xf numFmtId="0" fontId="65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57" fillId="34" borderId="0" xfId="0" applyFont="1" applyFill="1" applyAlignment="1">
      <alignment/>
    </xf>
    <xf numFmtId="0" fontId="5" fillId="34" borderId="10" xfId="52" applyFont="1" applyFill="1" applyBorder="1">
      <alignment/>
      <protection/>
    </xf>
    <xf numFmtId="0" fontId="61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vertical="top"/>
    </xf>
    <xf numFmtId="0" fontId="65" fillId="34" borderId="10" xfId="0" applyFont="1" applyFill="1" applyBorder="1" applyAlignment="1">
      <alignment horizontal="center" vertical="top"/>
    </xf>
    <xf numFmtId="49" fontId="71" fillId="0" borderId="10" xfId="52" applyNumberFormat="1" applyFont="1" applyFill="1" applyBorder="1" applyAlignment="1">
      <alignment horizontal="center" vertical="center" wrapText="1"/>
      <protection/>
    </xf>
    <xf numFmtId="0" fontId="71" fillId="0" borderId="10" xfId="52" applyFont="1" applyFill="1" applyBorder="1" applyAlignment="1">
      <alignment horizontal="center" vertical="top" wrapText="1"/>
      <protection/>
    </xf>
    <xf numFmtId="0" fontId="72" fillId="0" borderId="10" xfId="0" applyFont="1" applyFill="1" applyBorder="1" applyAlignment="1">
      <alignment vertical="center" wrapText="1"/>
    </xf>
    <xf numFmtId="172" fontId="72" fillId="0" borderId="10" xfId="52" applyNumberFormat="1" applyFont="1" applyFill="1" applyBorder="1" applyAlignment="1">
      <alignment horizontal="center" vertical="center" wrapText="1"/>
      <protection/>
    </xf>
    <xf numFmtId="3" fontId="72" fillId="0" borderId="10" xfId="52" applyNumberFormat="1" applyFont="1" applyFill="1" applyBorder="1" applyAlignment="1">
      <alignment horizontal="center" vertical="top" wrapText="1"/>
      <protection/>
    </xf>
    <xf numFmtId="0" fontId="72" fillId="0" borderId="10" xfId="52" applyFont="1" applyFill="1" applyBorder="1" applyAlignment="1">
      <alignment horizontal="center" vertical="top" wrapText="1"/>
      <protection/>
    </xf>
    <xf numFmtId="0" fontId="72" fillId="0" borderId="10" xfId="52" applyFont="1" applyFill="1" applyBorder="1" applyAlignment="1">
      <alignment vertical="center" wrapText="1"/>
      <protection/>
    </xf>
    <xf numFmtId="3" fontId="10" fillId="0" borderId="10" xfId="52" applyNumberFormat="1" applyFont="1" applyFill="1" applyBorder="1" applyAlignment="1">
      <alignment horizontal="center" vertical="center" wrapText="1"/>
      <protection/>
    </xf>
    <xf numFmtId="172" fontId="10" fillId="0" borderId="10" xfId="52" applyNumberFormat="1" applyFont="1" applyFill="1" applyBorder="1" applyAlignment="1">
      <alignment horizontal="center" vertical="center" wrapText="1"/>
      <protection/>
    </xf>
    <xf numFmtId="0" fontId="72" fillId="0" borderId="10" xfId="52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/>
    </xf>
    <xf numFmtId="0" fontId="65" fillId="0" borderId="10" xfId="0" applyFont="1" applyFill="1" applyBorder="1" applyAlignment="1">
      <alignment horizontal="center"/>
    </xf>
    <xf numFmtId="0" fontId="4" fillId="0" borderId="10" xfId="52" applyFont="1" applyFill="1" applyBorder="1">
      <alignment/>
      <protection/>
    </xf>
    <xf numFmtId="0" fontId="65" fillId="0" borderId="10" xfId="0" applyFont="1" applyFill="1" applyBorder="1" applyAlignment="1">
      <alignment vertical="center" wrapText="1"/>
    </xf>
    <xf numFmtId="0" fontId="65" fillId="0" borderId="10" xfId="0" applyNumberFormat="1" applyFont="1" applyFill="1" applyBorder="1" applyAlignment="1">
      <alignment horizontal="center" vertical="top" wrapText="1"/>
    </xf>
    <xf numFmtId="3" fontId="65" fillId="0" borderId="10" xfId="0" applyNumberFormat="1" applyFont="1" applyFill="1" applyBorder="1" applyAlignment="1">
      <alignment horizontal="center" vertical="top" wrapText="1"/>
    </xf>
    <xf numFmtId="0" fontId="4" fillId="0" borderId="10" xfId="52" applyFont="1" applyFill="1" applyBorder="1" applyAlignment="1">
      <alignment vertical="top"/>
      <protection/>
    </xf>
    <xf numFmtId="3" fontId="4" fillId="0" borderId="10" xfId="52" applyNumberFormat="1" applyFont="1" applyFill="1" applyBorder="1" applyAlignment="1">
      <alignment horizontal="center"/>
      <protection/>
    </xf>
    <xf numFmtId="3" fontId="65" fillId="0" borderId="10" xfId="52" applyNumberFormat="1" applyFont="1" applyFill="1" applyBorder="1" applyAlignment="1">
      <alignment vertical="center"/>
      <protection/>
    </xf>
    <xf numFmtId="3" fontId="6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64" fillId="0" borderId="10" xfId="0" applyNumberFormat="1" applyFont="1" applyFill="1" applyBorder="1" applyAlignment="1">
      <alignment horizontal="center" vertical="top" wrapText="1"/>
    </xf>
    <xf numFmtId="3" fontId="64" fillId="0" borderId="10" xfId="52" applyNumberFormat="1" applyFont="1" applyFill="1" applyBorder="1" applyAlignment="1">
      <alignment vertical="center"/>
      <protection/>
    </xf>
    <xf numFmtId="4" fontId="64" fillId="0" borderId="10" xfId="52" applyNumberFormat="1" applyFont="1" applyFill="1" applyBorder="1" applyAlignment="1">
      <alignment horizontal="center" vertical="center"/>
      <protection/>
    </xf>
    <xf numFmtId="4" fontId="64" fillId="0" borderId="10" xfId="52" applyNumberFormat="1" applyFont="1" applyFill="1" applyBorder="1" applyAlignment="1">
      <alignment vertical="top"/>
      <protection/>
    </xf>
    <xf numFmtId="0" fontId="5" fillId="0" borderId="10" xfId="52" applyFont="1" applyFill="1" applyBorder="1">
      <alignment/>
      <protection/>
    </xf>
    <xf numFmtId="3" fontId="65" fillId="0" borderId="1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top"/>
    </xf>
    <xf numFmtId="3" fontId="65" fillId="0" borderId="10" xfId="0" applyNumberFormat="1" applyFont="1" applyFill="1" applyBorder="1" applyAlignment="1">
      <alignment horizontal="center" vertical="top"/>
    </xf>
    <xf numFmtId="0" fontId="61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/>
    </xf>
    <xf numFmtId="0" fontId="64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 wrapText="1"/>
    </xf>
    <xf numFmtId="0" fontId="65" fillId="0" borderId="11" xfId="0" applyNumberFormat="1" applyFont="1" applyFill="1" applyBorder="1" applyAlignment="1">
      <alignment horizontal="center" vertical="center" wrapText="1"/>
    </xf>
    <xf numFmtId="3" fontId="65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/>
    </xf>
    <xf numFmtId="3" fontId="72" fillId="0" borderId="10" xfId="52" applyNumberFormat="1" applyFont="1" applyFill="1" applyBorder="1" applyAlignment="1">
      <alignment horizontal="center" vertical="center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left" vertical="center" wrapText="1"/>
    </xf>
    <xf numFmtId="0" fontId="2" fillId="34" borderId="0" xfId="52" applyFont="1" applyFill="1">
      <alignment/>
      <protection/>
    </xf>
    <xf numFmtId="0" fontId="62" fillId="34" borderId="15" xfId="52" applyFont="1" applyFill="1" applyBorder="1" applyAlignment="1">
      <alignment horizontal="center" vertical="center" wrapText="1"/>
      <protection/>
    </xf>
    <xf numFmtId="0" fontId="62" fillId="34" borderId="10" xfId="52" applyFont="1" applyFill="1" applyBorder="1" applyAlignment="1">
      <alignment horizontal="center" vertical="center" wrapText="1"/>
      <protection/>
    </xf>
    <xf numFmtId="3" fontId="62" fillId="34" borderId="10" xfId="52" applyNumberFormat="1" applyFont="1" applyFill="1" applyBorder="1" applyAlignment="1">
      <alignment horizontal="center" vertical="center" wrapText="1"/>
      <protection/>
    </xf>
    <xf numFmtId="3" fontId="64" fillId="34" borderId="10" xfId="52" applyNumberFormat="1" applyFont="1" applyFill="1" applyBorder="1" applyAlignment="1">
      <alignment horizontal="center" vertical="center" wrapText="1"/>
      <protection/>
    </xf>
    <xf numFmtId="3" fontId="5" fillId="34" borderId="10" xfId="52" applyNumberFormat="1" applyFont="1" applyFill="1" applyBorder="1" applyAlignment="1">
      <alignment horizontal="center" vertical="center" wrapText="1"/>
      <protection/>
    </xf>
    <xf numFmtId="3" fontId="8" fillId="34" borderId="10" xfId="52" applyNumberFormat="1" applyFont="1" applyFill="1" applyBorder="1" applyAlignment="1">
      <alignment horizontal="center" vertical="center" wrapText="1"/>
      <protection/>
    </xf>
    <xf numFmtId="3" fontId="64" fillId="34" borderId="12" xfId="52" applyNumberFormat="1" applyFont="1" applyFill="1" applyBorder="1" applyAlignment="1">
      <alignment horizontal="center" vertical="center" wrapText="1"/>
      <protection/>
    </xf>
    <xf numFmtId="3" fontId="5" fillId="34" borderId="10" xfId="52" applyNumberFormat="1" applyFont="1" applyFill="1" applyBorder="1">
      <alignment/>
      <protection/>
    </xf>
    <xf numFmtId="0" fontId="64" fillId="34" borderId="10" xfId="0" applyFont="1" applyFill="1" applyBorder="1" applyAlignment="1">
      <alignment horizontal="center"/>
    </xf>
    <xf numFmtId="3" fontId="59" fillId="34" borderId="0" xfId="52" applyNumberFormat="1" applyFont="1" applyFill="1" applyBorder="1" applyAlignment="1">
      <alignment horizontal="center" vertical="center"/>
      <protection/>
    </xf>
    <xf numFmtId="3" fontId="60" fillId="34" borderId="0" xfId="52" applyNumberFormat="1" applyFont="1" applyFill="1" applyAlignment="1">
      <alignment vertical="center"/>
      <protection/>
    </xf>
    <xf numFmtId="0" fontId="65" fillId="34" borderId="0" xfId="0" applyFont="1" applyFill="1" applyAlignment="1">
      <alignment/>
    </xf>
    <xf numFmtId="3" fontId="2" fillId="34" borderId="0" xfId="52" applyNumberFormat="1" applyFont="1" applyFill="1">
      <alignment/>
      <protection/>
    </xf>
    <xf numFmtId="0" fontId="62" fillId="0" borderId="11" xfId="52" applyFont="1" applyFill="1" applyBorder="1" applyAlignment="1">
      <alignment horizontal="center" vertical="center" wrapText="1"/>
      <protection/>
    </xf>
    <xf numFmtId="0" fontId="62" fillId="0" borderId="12" xfId="52" applyFont="1" applyFill="1" applyBorder="1" applyAlignment="1">
      <alignment horizontal="center" vertical="center" wrapText="1"/>
      <protection/>
    </xf>
    <xf numFmtId="3" fontId="72" fillId="0" borderId="10" xfId="52" applyNumberFormat="1" applyFont="1" applyFill="1" applyBorder="1" applyAlignment="1">
      <alignment horizontal="center" vertical="center"/>
      <protection/>
    </xf>
    <xf numFmtId="0" fontId="65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5" fillId="34" borderId="10" xfId="52" applyFont="1" applyFill="1" applyBorder="1" applyAlignment="1">
      <alignment horizontal="center" vertical="center"/>
      <protection/>
    </xf>
    <xf numFmtId="3" fontId="5" fillId="34" borderId="10" xfId="52" applyNumberFormat="1" applyFont="1" applyFill="1" applyBorder="1" applyAlignment="1">
      <alignment horizontal="center" vertical="center"/>
      <protection/>
    </xf>
    <xf numFmtId="173" fontId="70" fillId="0" borderId="10" xfId="0" applyNumberFormat="1" applyFont="1" applyFill="1" applyBorder="1" applyAlignment="1">
      <alignment horizontal="left" vertical="center" wrapText="1"/>
    </xf>
    <xf numFmtId="1" fontId="70" fillId="0" borderId="10" xfId="0" applyNumberFormat="1" applyFont="1" applyFill="1" applyBorder="1" applyAlignment="1">
      <alignment horizontal="center"/>
    </xf>
    <xf numFmtId="172" fontId="63" fillId="33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172" fontId="6" fillId="0" borderId="10" xfId="52" applyNumberFormat="1" applyFont="1" applyFill="1" applyBorder="1" applyAlignment="1">
      <alignment horizontal="center" vertical="center" wrapText="1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3" fontId="61" fillId="0" borderId="10" xfId="52" applyNumberFormat="1" applyFont="1" applyFill="1" applyBorder="1" applyAlignment="1">
      <alignment horizontal="center" vertical="top"/>
      <protection/>
    </xf>
    <xf numFmtId="0" fontId="13" fillId="0" borderId="0" xfId="52" applyFont="1" applyFill="1">
      <alignment/>
      <protection/>
    </xf>
    <xf numFmtId="0" fontId="68" fillId="0" borderId="0" xfId="0" applyFont="1" applyAlignment="1">
      <alignment/>
    </xf>
    <xf numFmtId="0" fontId="61" fillId="0" borderId="0" xfId="52" applyFont="1">
      <alignment/>
      <protection/>
    </xf>
    <xf numFmtId="3" fontId="67" fillId="0" borderId="0" xfId="52" applyNumberFormat="1" applyFont="1" applyFill="1" applyAlignment="1">
      <alignment/>
      <protection/>
    </xf>
    <xf numFmtId="0" fontId="67" fillId="0" borderId="0" xfId="52" applyFont="1" applyFill="1" applyAlignment="1">
      <alignment wrapText="1"/>
      <protection/>
    </xf>
    <xf numFmtId="0" fontId="67" fillId="0" borderId="0" xfId="52" applyFont="1" applyFill="1" applyAlignment="1">
      <alignment vertical="top" wrapText="1"/>
      <protection/>
    </xf>
    <xf numFmtId="0" fontId="74" fillId="0" borderId="0" xfId="52" applyFont="1" applyAlignment="1">
      <alignment horizontal="left" vertical="center"/>
      <protection/>
    </xf>
    <xf numFmtId="3" fontId="64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3" fontId="5" fillId="0" borderId="12" xfId="59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72" fontId="5" fillId="0" borderId="12" xfId="52" applyNumberFormat="1" applyFont="1" applyFill="1" applyBorder="1" applyAlignment="1">
      <alignment horizontal="center" vertical="center" wrapText="1"/>
      <protection/>
    </xf>
    <xf numFmtId="172" fontId="64" fillId="0" borderId="12" xfId="52" applyNumberFormat="1" applyFont="1" applyFill="1" applyBorder="1" applyAlignment="1">
      <alignment horizontal="center" vertical="center" wrapText="1"/>
      <protection/>
    </xf>
    <xf numFmtId="49" fontId="69" fillId="0" borderId="13" xfId="52" applyNumberFormat="1" applyFont="1" applyFill="1" applyBorder="1" applyAlignment="1">
      <alignment horizontal="center" vertical="center" wrapText="1"/>
      <protection/>
    </xf>
    <xf numFmtId="173" fontId="64" fillId="0" borderId="13" xfId="0" applyNumberFormat="1" applyFont="1" applyFill="1" applyBorder="1" applyAlignment="1">
      <alignment horizontal="left" vertical="center" wrapText="1"/>
    </xf>
    <xf numFmtId="3" fontId="64" fillId="0" borderId="13" xfId="52" applyNumberFormat="1" applyFont="1" applyFill="1" applyBorder="1" applyAlignment="1">
      <alignment horizontal="center" vertical="top" wrapText="1"/>
      <protection/>
    </xf>
    <xf numFmtId="0" fontId="64" fillId="0" borderId="13" xfId="52" applyFont="1" applyFill="1" applyBorder="1" applyAlignment="1">
      <alignment horizontal="center" vertical="top" wrapText="1"/>
      <protection/>
    </xf>
    <xf numFmtId="0" fontId="64" fillId="0" borderId="13" xfId="52" applyFont="1" applyFill="1" applyBorder="1" applyAlignment="1">
      <alignment vertical="center" wrapText="1"/>
      <protection/>
    </xf>
    <xf numFmtId="3" fontId="64" fillId="0" borderId="13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3" fontId="5" fillId="34" borderId="13" xfId="52" applyNumberFormat="1" applyFont="1" applyFill="1" applyBorder="1" applyAlignment="1">
      <alignment horizontal="center" vertical="center" wrapText="1"/>
      <protection/>
    </xf>
    <xf numFmtId="172" fontId="5" fillId="33" borderId="13" xfId="52" applyNumberFormat="1" applyFont="1" applyFill="1" applyBorder="1" applyAlignment="1">
      <alignment horizontal="center" vertical="top" wrapText="1"/>
      <protection/>
    </xf>
    <xf numFmtId="172" fontId="64" fillId="0" borderId="13" xfId="52" applyNumberFormat="1" applyFont="1" applyFill="1" applyBorder="1" applyAlignment="1">
      <alignment horizontal="center" vertical="top" wrapText="1"/>
      <protection/>
    </xf>
    <xf numFmtId="172" fontId="5" fillId="33" borderId="13" xfId="5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3" fontId="72" fillId="0" borderId="10" xfId="61" applyNumberFormat="1" applyFont="1" applyFill="1" applyBorder="1" applyAlignment="1">
      <alignment horizontal="center" vertical="center" wrapText="1"/>
    </xf>
    <xf numFmtId="1" fontId="72" fillId="0" borderId="10" xfId="52" applyNumberFormat="1" applyFont="1" applyFill="1" applyBorder="1" applyAlignment="1">
      <alignment horizontal="center" vertical="top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/>
    </xf>
    <xf numFmtId="3" fontId="64" fillId="0" borderId="10" xfId="52" applyNumberFormat="1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/>
    </xf>
    <xf numFmtId="0" fontId="75" fillId="0" borderId="10" xfId="52" applyFont="1" applyFill="1" applyBorder="1" applyAlignment="1">
      <alignment vertical="center" wrapText="1"/>
      <protection/>
    </xf>
    <xf numFmtId="3" fontId="72" fillId="0" borderId="10" xfId="0" applyNumberFormat="1" applyFont="1" applyFill="1" applyBorder="1" applyAlignment="1">
      <alignment horizontal="center" vertical="center"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3" fontId="75" fillId="0" borderId="10" xfId="52" applyNumberFormat="1" applyFont="1" applyFill="1" applyBorder="1" applyAlignment="1">
      <alignment horizontal="center" vertical="center"/>
      <protection/>
    </xf>
    <xf numFmtId="3" fontId="75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0" fontId="75" fillId="0" borderId="10" xfId="52" applyFont="1" applyFill="1" applyBorder="1" applyAlignment="1">
      <alignment horizontal="center" vertical="center"/>
      <protection/>
    </xf>
    <xf numFmtId="49" fontId="71" fillId="0" borderId="0" xfId="52" applyNumberFormat="1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/>
    </xf>
    <xf numFmtId="49" fontId="67" fillId="0" borderId="0" xfId="52" applyNumberFormat="1" applyFont="1" applyFill="1" applyBorder="1" applyAlignment="1">
      <alignment horizontal="center" vertical="center" wrapText="1"/>
      <protection/>
    </xf>
    <xf numFmtId="0" fontId="67" fillId="0" borderId="0" xfId="52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/>
    </xf>
    <xf numFmtId="49" fontId="69" fillId="0" borderId="0" xfId="52" applyNumberFormat="1" applyFont="1" applyFill="1" applyBorder="1" applyAlignment="1">
      <alignment horizontal="center" vertical="center" wrapText="1"/>
      <protection/>
    </xf>
    <xf numFmtId="0" fontId="76" fillId="0" borderId="0" xfId="52" applyFont="1" applyFill="1" applyBorder="1" applyAlignment="1">
      <alignment vertical="center" wrapText="1"/>
      <protection/>
    </xf>
    <xf numFmtId="0" fontId="57" fillId="0" borderId="0" xfId="0" applyFont="1" applyFill="1" applyBorder="1" applyAlignment="1">
      <alignment/>
    </xf>
    <xf numFmtId="49" fontId="77" fillId="0" borderId="0" xfId="52" applyNumberFormat="1" applyFont="1" applyFill="1" applyBorder="1" applyAlignment="1">
      <alignment horizontal="center" vertical="center" wrapText="1"/>
      <protection/>
    </xf>
    <xf numFmtId="0" fontId="71" fillId="0" borderId="0" xfId="52" applyFont="1" applyFill="1" applyBorder="1" applyAlignment="1">
      <alignment vertical="center" wrapText="1"/>
      <protection/>
    </xf>
    <xf numFmtId="0" fontId="78" fillId="0" borderId="0" xfId="0" applyFont="1" applyFill="1" applyBorder="1" applyAlignment="1">
      <alignment/>
    </xf>
    <xf numFmtId="0" fontId="62" fillId="0" borderId="0" xfId="52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59" fillId="0" borderId="12" xfId="52" applyFont="1" applyFill="1" applyBorder="1" applyAlignment="1">
      <alignment horizontal="center" vertical="center" wrapText="1"/>
      <protection/>
    </xf>
    <xf numFmtId="0" fontId="59" fillId="0" borderId="11" xfId="52" applyFont="1" applyFill="1" applyBorder="1" applyAlignment="1">
      <alignment horizontal="center" vertical="center" wrapText="1"/>
      <protection/>
    </xf>
    <xf numFmtId="0" fontId="62" fillId="0" borderId="12" xfId="52" applyFont="1" applyFill="1" applyBorder="1" applyAlignment="1">
      <alignment horizontal="center" vertical="center" wrapText="1"/>
      <protection/>
    </xf>
    <xf numFmtId="0" fontId="62" fillId="0" borderId="11" xfId="52" applyFont="1" applyFill="1" applyBorder="1" applyAlignment="1">
      <alignment horizontal="center" vertical="center" wrapText="1"/>
      <protection/>
    </xf>
    <xf numFmtId="3" fontId="62" fillId="0" borderId="10" xfId="52" applyNumberFormat="1" applyFont="1" applyFill="1" applyBorder="1" applyAlignment="1">
      <alignment horizontal="center" vertical="center" wrapText="1"/>
      <protection/>
    </xf>
    <xf numFmtId="0" fontId="62" fillId="0" borderId="10" xfId="52" applyFont="1" applyFill="1" applyBorder="1" applyAlignment="1">
      <alignment horizontal="center" vertical="center" wrapText="1"/>
      <protection/>
    </xf>
    <xf numFmtId="3" fontId="59" fillId="0" borderId="12" xfId="52" applyNumberFormat="1" applyFont="1" applyFill="1" applyBorder="1" applyAlignment="1">
      <alignment horizontal="center" vertical="center" wrapText="1"/>
      <protection/>
    </xf>
    <xf numFmtId="3" fontId="59" fillId="0" borderId="11" xfId="52" applyNumberFormat="1" applyFont="1" applyFill="1" applyBorder="1" applyAlignment="1">
      <alignment horizontal="center" vertical="center" wrapText="1"/>
      <protection/>
    </xf>
    <xf numFmtId="0" fontId="59" fillId="33" borderId="12" xfId="52" applyFont="1" applyFill="1" applyBorder="1" applyAlignment="1">
      <alignment horizontal="center" vertical="center" wrapText="1"/>
      <protection/>
    </xf>
    <xf numFmtId="0" fontId="59" fillId="33" borderId="11" xfId="52" applyFont="1" applyFill="1" applyBorder="1" applyAlignment="1">
      <alignment horizontal="center" vertical="center" wrapText="1"/>
      <protection/>
    </xf>
    <xf numFmtId="3" fontId="64" fillId="0" borderId="12" xfId="52" applyNumberFormat="1" applyFont="1" applyFill="1" applyBorder="1" applyAlignment="1">
      <alignment horizontal="center" vertical="center" wrapText="1"/>
      <protection/>
    </xf>
    <xf numFmtId="3" fontId="64" fillId="0" borderId="11" xfId="52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horizontal="center"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3" fillId="0" borderId="10" xfId="5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2" fontId="59" fillId="0" borderId="12" xfId="52" applyNumberFormat="1" applyFont="1" applyFill="1" applyBorder="1" applyAlignment="1">
      <alignment horizontal="center" vertical="center" wrapText="1"/>
      <protection/>
    </xf>
    <xf numFmtId="172" fontId="59" fillId="0" borderId="11" xfId="52" applyNumberFormat="1" applyFont="1" applyFill="1" applyBorder="1" applyAlignment="1">
      <alignment horizontal="center" vertical="center" wrapText="1"/>
      <protection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59" applyNumberFormat="1" applyFont="1" applyFill="1" applyBorder="1" applyAlignment="1">
      <alignment horizontal="center" vertical="center" wrapText="1"/>
    </xf>
    <xf numFmtId="3" fontId="3" fillId="0" borderId="11" xfId="59" applyNumberFormat="1" applyFont="1" applyFill="1" applyBorder="1" applyAlignment="1">
      <alignment horizontal="center" vertical="center" wrapText="1"/>
    </xf>
    <xf numFmtId="0" fontId="79" fillId="0" borderId="12" xfId="52" applyFont="1" applyFill="1" applyBorder="1" applyAlignment="1">
      <alignment horizontal="center" vertical="center" wrapText="1"/>
      <protection/>
    </xf>
    <xf numFmtId="0" fontId="79" fillId="0" borderId="13" xfId="52" applyFont="1" applyFill="1" applyBorder="1" applyAlignment="1">
      <alignment horizontal="center" vertical="center" wrapText="1"/>
      <protection/>
    </xf>
    <xf numFmtId="0" fontId="79" fillId="0" borderId="14" xfId="52" applyFont="1" applyFill="1" applyBorder="1" applyAlignment="1">
      <alignment horizontal="center" vertical="center" wrapText="1"/>
      <protection/>
    </xf>
    <xf numFmtId="0" fontId="62" fillId="0" borderId="15" xfId="52" applyFont="1" applyFill="1" applyBorder="1" applyAlignment="1">
      <alignment horizontal="center" vertical="center" wrapText="1"/>
      <protection/>
    </xf>
    <xf numFmtId="0" fontId="62" fillId="0" borderId="18" xfId="52" applyFont="1" applyFill="1" applyBorder="1" applyAlignment="1">
      <alignment horizontal="center" vertical="center" wrapText="1"/>
      <protection/>
    </xf>
    <xf numFmtId="0" fontId="62" fillId="0" borderId="12" xfId="52" applyFont="1" applyBorder="1" applyAlignment="1">
      <alignment horizontal="center" vertical="center" wrapText="1"/>
      <protection/>
    </xf>
    <xf numFmtId="0" fontId="62" fillId="0" borderId="11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7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0" fontId="62" fillId="0" borderId="13" xfId="52" applyFont="1" applyBorder="1" applyAlignment="1">
      <alignment horizontal="center" vertical="center" wrapText="1"/>
      <protection/>
    </xf>
    <xf numFmtId="0" fontId="62" fillId="0" borderId="15" xfId="52" applyFont="1" applyBorder="1" applyAlignment="1">
      <alignment horizontal="center" vertical="center" wrapText="1"/>
      <protection/>
    </xf>
    <xf numFmtId="0" fontId="62" fillId="0" borderId="18" xfId="52" applyFont="1" applyBorder="1" applyAlignment="1">
      <alignment horizontal="center" vertical="center" wrapText="1"/>
      <protection/>
    </xf>
    <xf numFmtId="0" fontId="62" fillId="0" borderId="19" xfId="52" applyFont="1" applyBorder="1" applyAlignment="1">
      <alignment horizontal="center" vertical="center" wrapText="1"/>
      <protection/>
    </xf>
    <xf numFmtId="0" fontId="62" fillId="0" borderId="10" xfId="52" applyFont="1" applyFill="1" applyBorder="1" applyAlignment="1">
      <alignment horizontal="center" vertical="top" wrapText="1"/>
      <protection/>
    </xf>
    <xf numFmtId="0" fontId="74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6"/>
  <sheetViews>
    <sheetView tabSelected="1" zoomScale="55" zoomScaleNormal="55" zoomScaleSheetLayoutView="55" workbookViewId="0" topLeftCell="A1">
      <selection activeCell="H226" sqref="H226"/>
    </sheetView>
  </sheetViews>
  <sheetFormatPr defaultColWidth="9.140625" defaultRowHeight="15"/>
  <cols>
    <col min="1" max="1" width="7.140625" style="53" customWidth="1"/>
    <col min="2" max="2" width="7.28125" style="2" customWidth="1"/>
    <col min="3" max="3" width="47.421875" style="13" customWidth="1"/>
    <col min="4" max="4" width="9.140625" style="13" customWidth="1"/>
    <col min="5" max="6" width="8.140625" style="13" bestFit="1" customWidth="1"/>
    <col min="7" max="7" width="9.28125" style="127" customWidth="1"/>
    <col min="8" max="8" width="12.00390625" style="13" customWidth="1"/>
    <col min="9" max="9" width="14.00390625" style="13" customWidth="1"/>
    <col min="10" max="10" width="13.421875" style="13" customWidth="1"/>
    <col min="11" max="11" width="14.8515625" style="13" customWidth="1"/>
    <col min="12" max="12" width="33.140625" style="13" bestFit="1" customWidth="1"/>
    <col min="13" max="14" width="11.28125" style="138" hidden="1" customWidth="1"/>
    <col min="15" max="15" width="13.57421875" style="13" customWidth="1"/>
    <col min="16" max="16" width="12.00390625" style="13" customWidth="1"/>
    <col min="17" max="17" width="20.421875" style="13" customWidth="1"/>
    <col min="18" max="18" width="15.7109375" style="13" customWidth="1"/>
    <col min="19" max="19" width="9.140625" style="13" customWidth="1"/>
    <col min="20" max="20" width="9.28125" style="13" customWidth="1"/>
    <col min="21" max="21" width="9.140625" style="13" customWidth="1"/>
    <col min="22" max="22" width="9.28125" style="13" customWidth="1"/>
    <col min="23" max="27" width="9.140625" style="13" customWidth="1"/>
    <col min="28" max="28" width="26.140625" style="13" customWidth="1"/>
    <col min="29" max="16384" width="9.140625" style="2" customWidth="1"/>
  </cols>
  <sheetData>
    <row r="1" spans="1:28" ht="15">
      <c r="A1" s="231" t="s">
        <v>0</v>
      </c>
      <c r="B1" s="3"/>
      <c r="C1" s="8"/>
      <c r="D1" s="8"/>
      <c r="E1" s="8"/>
      <c r="F1" s="8"/>
      <c r="G1" s="120"/>
      <c r="H1" s="8"/>
      <c r="I1" s="8"/>
      <c r="J1" s="8"/>
      <c r="K1" s="8"/>
      <c r="L1" s="8"/>
      <c r="M1" s="194"/>
      <c r="N1" s="19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226" customFormat="1" ht="29.25" customHeight="1">
      <c r="A2" s="227"/>
      <c r="B2" s="227"/>
      <c r="C2" s="228"/>
      <c r="D2" s="225"/>
      <c r="E2" s="225"/>
      <c r="F2" s="229"/>
      <c r="G2" s="230"/>
      <c r="H2" s="229"/>
      <c r="I2" s="229"/>
      <c r="J2" s="229"/>
      <c r="K2" s="229"/>
      <c r="L2" s="312" t="s">
        <v>98</v>
      </c>
      <c r="M2" s="312"/>
      <c r="N2" s="312"/>
      <c r="O2" s="312"/>
      <c r="P2" s="312"/>
      <c r="Q2" s="312"/>
      <c r="R2" s="312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28" s="226" customFormat="1" ht="1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</row>
    <row r="4" spans="1:28" ht="13.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8"/>
    </row>
    <row r="5" spans="1:28" ht="45.75" customHeight="1">
      <c r="A5" s="308" t="s">
        <v>2</v>
      </c>
      <c r="B5" s="315" t="s">
        <v>3</v>
      </c>
      <c r="C5" s="316"/>
      <c r="D5" s="316"/>
      <c r="E5" s="316"/>
      <c r="F5" s="317"/>
      <c r="G5" s="318" t="s">
        <v>4</v>
      </c>
      <c r="H5" s="284" t="s">
        <v>5</v>
      </c>
      <c r="I5" s="284" t="s">
        <v>6</v>
      </c>
      <c r="J5" s="284"/>
      <c r="K5" s="284"/>
      <c r="L5" s="284"/>
      <c r="M5" s="195"/>
      <c r="N5" s="195"/>
      <c r="O5" s="306" t="s">
        <v>7</v>
      </c>
      <c r="P5" s="307"/>
      <c r="Q5" s="307"/>
      <c r="R5" s="307"/>
      <c r="S5" s="310" t="s">
        <v>8</v>
      </c>
      <c r="T5" s="310"/>
      <c r="U5" s="310"/>
      <c r="V5" s="310"/>
      <c r="W5" s="310"/>
      <c r="X5" s="310"/>
      <c r="Y5" s="310"/>
      <c r="Z5" s="310"/>
      <c r="AA5" s="311" t="s">
        <v>9</v>
      </c>
      <c r="AB5" s="294" t="s">
        <v>10</v>
      </c>
    </row>
    <row r="6" spans="1:28" ht="118.5" customHeight="1">
      <c r="A6" s="314"/>
      <c r="B6" s="308" t="s">
        <v>11</v>
      </c>
      <c r="C6" s="281" t="s">
        <v>12</v>
      </c>
      <c r="D6" s="281" t="s">
        <v>13</v>
      </c>
      <c r="E6" s="284" t="s">
        <v>14</v>
      </c>
      <c r="F6" s="284"/>
      <c r="G6" s="318"/>
      <c r="H6" s="284"/>
      <c r="I6" s="283" t="s">
        <v>15</v>
      </c>
      <c r="J6" s="283" t="s">
        <v>16</v>
      </c>
      <c r="K6" s="283" t="s">
        <v>17</v>
      </c>
      <c r="L6" s="284" t="s">
        <v>18</v>
      </c>
      <c r="M6" s="195"/>
      <c r="N6" s="195"/>
      <c r="O6" s="306" t="s">
        <v>19</v>
      </c>
      <c r="P6" s="307"/>
      <c r="Q6" s="281" t="s">
        <v>20</v>
      </c>
      <c r="R6" s="209" t="s">
        <v>21</v>
      </c>
      <c r="S6" s="292" t="s">
        <v>22</v>
      </c>
      <c r="T6" s="293"/>
      <c r="U6" s="292" t="s">
        <v>23</v>
      </c>
      <c r="V6" s="293"/>
      <c r="W6" s="292" t="s">
        <v>24</v>
      </c>
      <c r="X6" s="293"/>
      <c r="Y6" s="292" t="s">
        <v>25</v>
      </c>
      <c r="Z6" s="293"/>
      <c r="AA6" s="311"/>
      <c r="AB6" s="294"/>
    </row>
    <row r="7" spans="1:28" ht="41.25">
      <c r="A7" s="309"/>
      <c r="B7" s="309"/>
      <c r="C7" s="282"/>
      <c r="D7" s="282"/>
      <c r="E7" s="40" t="s">
        <v>15</v>
      </c>
      <c r="F7" s="40" t="s">
        <v>16</v>
      </c>
      <c r="G7" s="318"/>
      <c r="H7" s="284"/>
      <c r="I7" s="283"/>
      <c r="J7" s="283"/>
      <c r="K7" s="283"/>
      <c r="L7" s="284"/>
      <c r="M7" s="196" t="s">
        <v>96</v>
      </c>
      <c r="N7" s="196" t="s">
        <v>97</v>
      </c>
      <c r="O7" s="41" t="s">
        <v>26</v>
      </c>
      <c r="P7" s="41" t="s">
        <v>36</v>
      </c>
      <c r="Q7" s="282"/>
      <c r="R7" s="208"/>
      <c r="S7" s="42" t="s">
        <v>27</v>
      </c>
      <c r="T7" s="42" t="s">
        <v>28</v>
      </c>
      <c r="U7" s="37" t="s">
        <v>27</v>
      </c>
      <c r="V7" s="37" t="s">
        <v>28</v>
      </c>
      <c r="W7" s="37" t="s">
        <v>29</v>
      </c>
      <c r="X7" s="37" t="s">
        <v>16</v>
      </c>
      <c r="Y7" s="37" t="s">
        <v>27</v>
      </c>
      <c r="Z7" s="37" t="s">
        <v>28</v>
      </c>
      <c r="AA7" s="311"/>
      <c r="AB7" s="294"/>
    </row>
    <row r="8" spans="1:28" ht="22.5" customHeight="1">
      <c r="A8" s="43"/>
      <c r="B8" s="43">
        <v>2</v>
      </c>
      <c r="C8" s="131">
        <v>3</v>
      </c>
      <c r="D8" s="22">
        <v>4</v>
      </c>
      <c r="E8" s="22">
        <v>5</v>
      </c>
      <c r="F8" s="22">
        <v>6</v>
      </c>
      <c r="G8" s="121">
        <v>7</v>
      </c>
      <c r="H8" s="22">
        <v>8</v>
      </c>
      <c r="I8" s="41">
        <v>9</v>
      </c>
      <c r="J8" s="54">
        <v>10</v>
      </c>
      <c r="K8" s="41">
        <v>11</v>
      </c>
      <c r="L8" s="41">
        <v>12</v>
      </c>
      <c r="M8" s="197"/>
      <c r="N8" s="197"/>
      <c r="O8" s="41">
        <v>13</v>
      </c>
      <c r="P8" s="41">
        <v>14</v>
      </c>
      <c r="Q8" s="22">
        <v>15</v>
      </c>
      <c r="R8" s="22">
        <v>16</v>
      </c>
      <c r="S8" s="37">
        <v>17</v>
      </c>
      <c r="T8" s="37">
        <v>18</v>
      </c>
      <c r="U8" s="44">
        <v>19</v>
      </c>
      <c r="V8" s="37">
        <v>20</v>
      </c>
      <c r="W8" s="37">
        <v>21</v>
      </c>
      <c r="X8" s="44">
        <v>22</v>
      </c>
      <c r="Y8" s="37">
        <v>23</v>
      </c>
      <c r="Z8" s="37">
        <v>24</v>
      </c>
      <c r="AA8" s="45">
        <v>25</v>
      </c>
      <c r="AB8" s="38">
        <v>26</v>
      </c>
    </row>
    <row r="9" spans="1:28" s="13" customFormat="1" ht="17.25" customHeight="1">
      <c r="A9" s="22">
        <v>1</v>
      </c>
      <c r="B9" s="303" t="s">
        <v>30</v>
      </c>
      <c r="C9" s="29" t="s">
        <v>31</v>
      </c>
      <c r="D9" s="31" t="s">
        <v>32</v>
      </c>
      <c r="E9" s="23">
        <f>E60</f>
        <v>8617</v>
      </c>
      <c r="F9" s="23">
        <f>F60</f>
        <v>9172</v>
      </c>
      <c r="G9" s="122"/>
      <c r="H9" s="46"/>
      <c r="I9" s="35">
        <f>I60</f>
        <v>205677.17799999999</v>
      </c>
      <c r="J9" s="35">
        <f>J60</f>
        <v>218448.03700000004</v>
      </c>
      <c r="K9" s="23">
        <f>K60</f>
        <v>12770.859000000055</v>
      </c>
      <c r="L9" s="30"/>
      <c r="M9" s="198"/>
      <c r="N9" s="198"/>
      <c r="O9" s="23">
        <f>O60</f>
        <v>200004.87800000003</v>
      </c>
      <c r="P9" s="23"/>
      <c r="Q9" s="23"/>
      <c r="R9" s="23"/>
      <c r="S9" s="36"/>
      <c r="T9" s="222">
        <v>100</v>
      </c>
      <c r="U9" s="218">
        <v>58.9</v>
      </c>
      <c r="V9" s="218">
        <v>58</v>
      </c>
      <c r="W9" s="219" t="s">
        <v>290</v>
      </c>
      <c r="X9" s="219" t="s">
        <v>290</v>
      </c>
      <c r="Y9" s="220">
        <v>0.3</v>
      </c>
      <c r="Z9" s="221">
        <v>0.3</v>
      </c>
      <c r="AA9" s="47"/>
      <c r="AB9" s="32"/>
    </row>
    <row r="10" spans="1:28" s="13" customFormat="1" ht="15.75" customHeight="1">
      <c r="A10" s="100" t="s">
        <v>52</v>
      </c>
      <c r="B10" s="304"/>
      <c r="C10" s="27" t="s">
        <v>99</v>
      </c>
      <c r="D10" s="63" t="s">
        <v>32</v>
      </c>
      <c r="E10" s="68">
        <v>170</v>
      </c>
      <c r="F10" s="68">
        <v>170</v>
      </c>
      <c r="G10" s="123">
        <v>2021</v>
      </c>
      <c r="H10" s="64"/>
      <c r="I10" s="65">
        <f>1941.118+187</f>
        <v>2128.118</v>
      </c>
      <c r="J10" s="65">
        <f>1941.118+187</f>
        <v>2128.118</v>
      </c>
      <c r="K10" s="17">
        <f aca="true" t="shared" si="0" ref="K10:K47">J10-I10</f>
        <v>0</v>
      </c>
      <c r="L10" s="34"/>
      <c r="M10" s="199"/>
      <c r="N10" s="199"/>
      <c r="O10" s="30">
        <f aca="true" t="shared" si="1" ref="O10:O52">J10</f>
        <v>2128.118</v>
      </c>
      <c r="P10" s="30"/>
      <c r="Q10" s="23"/>
      <c r="R10" s="23"/>
      <c r="S10" s="24" t="s">
        <v>48</v>
      </c>
      <c r="T10" s="30">
        <v>100</v>
      </c>
      <c r="U10" s="48" t="s">
        <v>48</v>
      </c>
      <c r="V10" s="48" t="s">
        <v>48</v>
      </c>
      <c r="W10" s="48" t="s">
        <v>48</v>
      </c>
      <c r="X10" s="48" t="s">
        <v>48</v>
      </c>
      <c r="Y10" s="48" t="s">
        <v>48</v>
      </c>
      <c r="Z10" s="48" t="s">
        <v>48</v>
      </c>
      <c r="AA10" s="24" t="s">
        <v>48</v>
      </c>
      <c r="AB10" s="36" t="s">
        <v>93</v>
      </c>
    </row>
    <row r="11" spans="1:28" s="13" customFormat="1" ht="17.25" customHeight="1">
      <c r="A11" s="100" t="s">
        <v>41</v>
      </c>
      <c r="B11" s="304"/>
      <c r="C11" s="27" t="s">
        <v>100</v>
      </c>
      <c r="D11" s="63" t="s">
        <v>32</v>
      </c>
      <c r="E11" s="68">
        <v>26</v>
      </c>
      <c r="F11" s="68">
        <v>26</v>
      </c>
      <c r="G11" s="123">
        <v>2021</v>
      </c>
      <c r="H11" s="64"/>
      <c r="I11" s="65">
        <f>428.139+59.8</f>
        <v>487.939</v>
      </c>
      <c r="J11" s="65">
        <f>428.139+59.8</f>
        <v>487.939</v>
      </c>
      <c r="K11" s="17">
        <f t="shared" si="0"/>
        <v>0</v>
      </c>
      <c r="L11" s="34"/>
      <c r="M11" s="199"/>
      <c r="N11" s="199"/>
      <c r="O11" s="30">
        <f t="shared" si="1"/>
        <v>487.939</v>
      </c>
      <c r="P11" s="30"/>
      <c r="Q11" s="23"/>
      <c r="R11" s="23"/>
      <c r="S11" s="24" t="s">
        <v>48</v>
      </c>
      <c r="T11" s="30">
        <v>100</v>
      </c>
      <c r="U11" s="48" t="s">
        <v>48</v>
      </c>
      <c r="V11" s="48" t="s">
        <v>48</v>
      </c>
      <c r="W11" s="48" t="s">
        <v>48</v>
      </c>
      <c r="X11" s="48" t="s">
        <v>48</v>
      </c>
      <c r="Y11" s="48" t="s">
        <v>48</v>
      </c>
      <c r="Z11" s="48" t="s">
        <v>48</v>
      </c>
      <c r="AA11" s="24" t="s">
        <v>48</v>
      </c>
      <c r="AB11" s="36" t="s">
        <v>93</v>
      </c>
    </row>
    <row r="12" spans="1:28" s="13" customFormat="1" ht="15.75" customHeight="1">
      <c r="A12" s="100" t="s">
        <v>42</v>
      </c>
      <c r="B12" s="304"/>
      <c r="C12" s="27" t="s">
        <v>101</v>
      </c>
      <c r="D12" s="63" t="s">
        <v>32</v>
      </c>
      <c r="E12" s="68">
        <v>56</v>
      </c>
      <c r="F12" s="68">
        <v>56</v>
      </c>
      <c r="G12" s="123">
        <v>2021</v>
      </c>
      <c r="H12" s="64"/>
      <c r="I12" s="65">
        <f>775.47+27.248</f>
        <v>802.7180000000001</v>
      </c>
      <c r="J12" s="65">
        <f>775.47+27.248</f>
        <v>802.7180000000001</v>
      </c>
      <c r="K12" s="17">
        <f t="shared" si="0"/>
        <v>0</v>
      </c>
      <c r="L12" s="19"/>
      <c r="M12" s="199"/>
      <c r="N12" s="199"/>
      <c r="O12" s="30">
        <f t="shared" si="1"/>
        <v>802.7180000000001</v>
      </c>
      <c r="P12" s="30"/>
      <c r="Q12" s="23"/>
      <c r="R12" s="23"/>
      <c r="S12" s="24" t="s">
        <v>48</v>
      </c>
      <c r="T12" s="30">
        <v>100</v>
      </c>
      <c r="U12" s="48" t="s">
        <v>48</v>
      </c>
      <c r="V12" s="48" t="s">
        <v>48</v>
      </c>
      <c r="W12" s="48" t="s">
        <v>48</v>
      </c>
      <c r="X12" s="48" t="s">
        <v>48</v>
      </c>
      <c r="Y12" s="48" t="s">
        <v>48</v>
      </c>
      <c r="Z12" s="48" t="s">
        <v>48</v>
      </c>
      <c r="AA12" s="24" t="s">
        <v>48</v>
      </c>
      <c r="AB12" s="36" t="s">
        <v>93</v>
      </c>
    </row>
    <row r="13" spans="1:28" s="13" customFormat="1" ht="18" customHeight="1">
      <c r="A13" s="100" t="s">
        <v>43</v>
      </c>
      <c r="B13" s="304"/>
      <c r="C13" s="27" t="s">
        <v>281</v>
      </c>
      <c r="D13" s="63" t="s">
        <v>32</v>
      </c>
      <c r="E13" s="68">
        <v>31</v>
      </c>
      <c r="F13" s="68">
        <v>31</v>
      </c>
      <c r="G13" s="123">
        <v>2021</v>
      </c>
      <c r="H13" s="64"/>
      <c r="I13" s="65">
        <f>775.47+71.3</f>
        <v>846.77</v>
      </c>
      <c r="J13" s="65">
        <f>775.47+71.3</f>
        <v>846.77</v>
      </c>
      <c r="K13" s="17">
        <f t="shared" si="0"/>
        <v>0</v>
      </c>
      <c r="L13" s="19"/>
      <c r="M13" s="199"/>
      <c r="N13" s="199"/>
      <c r="O13" s="30">
        <f t="shared" si="1"/>
        <v>846.77</v>
      </c>
      <c r="P13" s="30"/>
      <c r="Q13" s="23"/>
      <c r="R13" s="23"/>
      <c r="S13" s="24" t="s">
        <v>48</v>
      </c>
      <c r="T13" s="30">
        <v>100</v>
      </c>
      <c r="U13" s="48" t="s">
        <v>48</v>
      </c>
      <c r="V13" s="48" t="s">
        <v>48</v>
      </c>
      <c r="W13" s="48" t="s">
        <v>48</v>
      </c>
      <c r="X13" s="48" t="s">
        <v>48</v>
      </c>
      <c r="Y13" s="48" t="s">
        <v>48</v>
      </c>
      <c r="Z13" s="48" t="s">
        <v>48</v>
      </c>
      <c r="AA13" s="24" t="s">
        <v>48</v>
      </c>
      <c r="AB13" s="36" t="s">
        <v>93</v>
      </c>
    </row>
    <row r="14" spans="1:28" s="13" customFormat="1" ht="15.75" customHeight="1">
      <c r="A14" s="100" t="s">
        <v>44</v>
      </c>
      <c r="B14" s="304"/>
      <c r="C14" s="27" t="s">
        <v>102</v>
      </c>
      <c r="D14" s="63" t="s">
        <v>32</v>
      </c>
      <c r="E14" s="68">
        <v>71</v>
      </c>
      <c r="F14" s="68">
        <v>71</v>
      </c>
      <c r="G14" s="123">
        <v>2021</v>
      </c>
      <c r="H14" s="64"/>
      <c r="I14" s="65">
        <f>1085.252+163</f>
        <v>1248.252</v>
      </c>
      <c r="J14" s="65">
        <f>1085.252+163</f>
        <v>1248.252</v>
      </c>
      <c r="K14" s="17">
        <f t="shared" si="0"/>
        <v>0</v>
      </c>
      <c r="L14" s="19"/>
      <c r="M14" s="199"/>
      <c r="N14" s="199"/>
      <c r="O14" s="30">
        <f t="shared" si="1"/>
        <v>1248.252</v>
      </c>
      <c r="P14" s="30"/>
      <c r="Q14" s="23"/>
      <c r="R14" s="23"/>
      <c r="S14" s="24" t="s">
        <v>48</v>
      </c>
      <c r="T14" s="30">
        <v>100</v>
      </c>
      <c r="U14" s="48" t="s">
        <v>48</v>
      </c>
      <c r="V14" s="48" t="s">
        <v>48</v>
      </c>
      <c r="W14" s="48" t="s">
        <v>48</v>
      </c>
      <c r="X14" s="48" t="s">
        <v>48</v>
      </c>
      <c r="Y14" s="48" t="s">
        <v>48</v>
      </c>
      <c r="Z14" s="48" t="s">
        <v>48</v>
      </c>
      <c r="AA14" s="24" t="s">
        <v>48</v>
      </c>
      <c r="AB14" s="36" t="s">
        <v>93</v>
      </c>
    </row>
    <row r="15" spans="1:28" s="13" customFormat="1" ht="17.25" customHeight="1">
      <c r="A15" s="100" t="s">
        <v>53</v>
      </c>
      <c r="B15" s="304"/>
      <c r="C15" s="27" t="s">
        <v>280</v>
      </c>
      <c r="D15" s="63" t="s">
        <v>32</v>
      </c>
      <c r="E15" s="68">
        <v>120</v>
      </c>
      <c r="F15" s="68">
        <v>120</v>
      </c>
      <c r="G15" s="123">
        <v>2021</v>
      </c>
      <c r="H15" s="64"/>
      <c r="I15" s="65">
        <f>2918.291+648</f>
        <v>3566.291</v>
      </c>
      <c r="J15" s="65">
        <f>2918.291+648</f>
        <v>3566.291</v>
      </c>
      <c r="K15" s="17">
        <f t="shared" si="0"/>
        <v>0</v>
      </c>
      <c r="L15" s="18"/>
      <c r="M15" s="199"/>
      <c r="N15" s="199"/>
      <c r="O15" s="30">
        <f t="shared" si="1"/>
        <v>3566.291</v>
      </c>
      <c r="P15" s="30"/>
      <c r="Q15" s="23"/>
      <c r="R15" s="23"/>
      <c r="S15" s="24" t="s">
        <v>48</v>
      </c>
      <c r="T15" s="30">
        <v>100</v>
      </c>
      <c r="U15" s="48" t="s">
        <v>48</v>
      </c>
      <c r="V15" s="48" t="s">
        <v>48</v>
      </c>
      <c r="W15" s="48" t="s">
        <v>48</v>
      </c>
      <c r="X15" s="48" t="s">
        <v>48</v>
      </c>
      <c r="Y15" s="48" t="s">
        <v>48</v>
      </c>
      <c r="Z15" s="48" t="s">
        <v>48</v>
      </c>
      <c r="AA15" s="24" t="s">
        <v>48</v>
      </c>
      <c r="AB15" s="36" t="s">
        <v>93</v>
      </c>
    </row>
    <row r="16" spans="1:28" s="13" customFormat="1" ht="17.25" customHeight="1">
      <c r="A16" s="100" t="s">
        <v>45</v>
      </c>
      <c r="B16" s="304"/>
      <c r="C16" s="27" t="s">
        <v>279</v>
      </c>
      <c r="D16" s="63" t="s">
        <v>32</v>
      </c>
      <c r="E16" s="68">
        <v>19</v>
      </c>
      <c r="F16" s="68">
        <v>19</v>
      </c>
      <c r="G16" s="123">
        <v>2021</v>
      </c>
      <c r="H16" s="64"/>
      <c r="I16" s="65">
        <f>371.815+9.731</f>
        <v>381.546</v>
      </c>
      <c r="J16" s="65">
        <f>371.815+9.731</f>
        <v>381.546</v>
      </c>
      <c r="K16" s="17">
        <f t="shared" si="0"/>
        <v>0</v>
      </c>
      <c r="L16" s="19"/>
      <c r="M16" s="199"/>
      <c r="N16" s="199"/>
      <c r="O16" s="30">
        <f t="shared" si="1"/>
        <v>381.546</v>
      </c>
      <c r="P16" s="30"/>
      <c r="Q16" s="23"/>
      <c r="R16" s="23"/>
      <c r="S16" s="24" t="s">
        <v>48</v>
      </c>
      <c r="T16" s="30">
        <v>100</v>
      </c>
      <c r="U16" s="48" t="s">
        <v>48</v>
      </c>
      <c r="V16" s="48" t="s">
        <v>48</v>
      </c>
      <c r="W16" s="48" t="s">
        <v>48</v>
      </c>
      <c r="X16" s="48" t="s">
        <v>48</v>
      </c>
      <c r="Y16" s="48" t="s">
        <v>48</v>
      </c>
      <c r="Z16" s="48" t="s">
        <v>48</v>
      </c>
      <c r="AA16" s="24" t="s">
        <v>48</v>
      </c>
      <c r="AB16" s="36" t="s">
        <v>93</v>
      </c>
    </row>
    <row r="17" spans="1:28" s="13" customFormat="1" ht="15.75" customHeight="1">
      <c r="A17" s="100" t="s">
        <v>46</v>
      </c>
      <c r="B17" s="304"/>
      <c r="C17" s="27" t="s">
        <v>103</v>
      </c>
      <c r="D17" s="63" t="s">
        <v>32</v>
      </c>
      <c r="E17" s="68">
        <v>92</v>
      </c>
      <c r="F17" s="68">
        <v>92</v>
      </c>
      <c r="G17" s="123">
        <v>2021</v>
      </c>
      <c r="H17" s="64"/>
      <c r="I17" s="65">
        <f>953.832+211.6</f>
        <v>1165.432</v>
      </c>
      <c r="J17" s="65">
        <f>953.832+211.6</f>
        <v>1165.432</v>
      </c>
      <c r="K17" s="17">
        <f t="shared" si="0"/>
        <v>0</v>
      </c>
      <c r="L17" s="19"/>
      <c r="M17" s="199"/>
      <c r="N17" s="199"/>
      <c r="O17" s="30">
        <f t="shared" si="1"/>
        <v>1165.432</v>
      </c>
      <c r="P17" s="30"/>
      <c r="Q17" s="23"/>
      <c r="R17" s="23"/>
      <c r="S17" s="24" t="s">
        <v>48</v>
      </c>
      <c r="T17" s="30">
        <v>100</v>
      </c>
      <c r="U17" s="48" t="s">
        <v>48</v>
      </c>
      <c r="V17" s="48" t="s">
        <v>48</v>
      </c>
      <c r="W17" s="48" t="s">
        <v>48</v>
      </c>
      <c r="X17" s="48" t="s">
        <v>48</v>
      </c>
      <c r="Y17" s="48" t="s">
        <v>48</v>
      </c>
      <c r="Z17" s="48" t="s">
        <v>48</v>
      </c>
      <c r="AA17" s="24" t="s">
        <v>48</v>
      </c>
      <c r="AB17" s="36" t="s">
        <v>93</v>
      </c>
    </row>
    <row r="18" spans="1:28" s="13" customFormat="1" ht="15.75" customHeight="1">
      <c r="A18" s="100" t="s">
        <v>54</v>
      </c>
      <c r="B18" s="304"/>
      <c r="C18" s="27" t="s">
        <v>278</v>
      </c>
      <c r="D18" s="63" t="s">
        <v>32</v>
      </c>
      <c r="E18" s="68">
        <v>120</v>
      </c>
      <c r="F18" s="68">
        <v>120</v>
      </c>
      <c r="G18" s="123">
        <v>2021</v>
      </c>
      <c r="H18" s="64"/>
      <c r="I18" s="65">
        <f>2830.27+648</f>
        <v>3478.27</v>
      </c>
      <c r="J18" s="65">
        <f>2830.27+648</f>
        <v>3478.27</v>
      </c>
      <c r="K18" s="17">
        <f t="shared" si="0"/>
        <v>0</v>
      </c>
      <c r="L18" s="19"/>
      <c r="M18" s="199"/>
      <c r="N18" s="199"/>
      <c r="O18" s="30">
        <f t="shared" si="1"/>
        <v>3478.27</v>
      </c>
      <c r="P18" s="30"/>
      <c r="Q18" s="23"/>
      <c r="R18" s="23"/>
      <c r="S18" s="24" t="s">
        <v>48</v>
      </c>
      <c r="T18" s="30">
        <v>100</v>
      </c>
      <c r="U18" s="48" t="s">
        <v>48</v>
      </c>
      <c r="V18" s="48" t="s">
        <v>48</v>
      </c>
      <c r="W18" s="48" t="s">
        <v>48</v>
      </c>
      <c r="X18" s="48" t="s">
        <v>48</v>
      </c>
      <c r="Y18" s="48" t="s">
        <v>48</v>
      </c>
      <c r="Z18" s="48" t="s">
        <v>48</v>
      </c>
      <c r="AA18" s="24" t="s">
        <v>48</v>
      </c>
      <c r="AB18" s="36" t="s">
        <v>93</v>
      </c>
    </row>
    <row r="19" spans="1:28" s="13" customFormat="1" ht="18" customHeight="1">
      <c r="A19" s="100" t="s">
        <v>55</v>
      </c>
      <c r="B19" s="304"/>
      <c r="C19" s="27" t="s">
        <v>104</v>
      </c>
      <c r="D19" s="63" t="s">
        <v>32</v>
      </c>
      <c r="E19" s="68">
        <v>139</v>
      </c>
      <c r="F19" s="68">
        <v>139</v>
      </c>
      <c r="G19" s="123">
        <v>2021</v>
      </c>
      <c r="H19" s="64"/>
      <c r="I19" s="65">
        <f>1558.066+67.634</f>
        <v>1625.7</v>
      </c>
      <c r="J19" s="65">
        <f>1558.066+67.634</f>
        <v>1625.7</v>
      </c>
      <c r="K19" s="17">
        <f t="shared" si="0"/>
        <v>0</v>
      </c>
      <c r="L19" s="19"/>
      <c r="M19" s="199"/>
      <c r="N19" s="199"/>
      <c r="O19" s="30">
        <f t="shared" si="1"/>
        <v>1625.7</v>
      </c>
      <c r="P19" s="30"/>
      <c r="Q19" s="23"/>
      <c r="R19" s="23"/>
      <c r="S19" s="24" t="s">
        <v>48</v>
      </c>
      <c r="T19" s="30">
        <v>100</v>
      </c>
      <c r="U19" s="48" t="s">
        <v>48</v>
      </c>
      <c r="V19" s="48" t="s">
        <v>48</v>
      </c>
      <c r="W19" s="48" t="s">
        <v>48</v>
      </c>
      <c r="X19" s="48" t="s">
        <v>48</v>
      </c>
      <c r="Y19" s="48" t="s">
        <v>48</v>
      </c>
      <c r="Z19" s="48" t="s">
        <v>48</v>
      </c>
      <c r="AA19" s="24" t="s">
        <v>48</v>
      </c>
      <c r="AB19" s="36" t="s">
        <v>93</v>
      </c>
    </row>
    <row r="20" spans="1:28" s="13" customFormat="1" ht="17.25" customHeight="1">
      <c r="A20" s="100" t="s">
        <v>56</v>
      </c>
      <c r="B20" s="304"/>
      <c r="C20" s="27" t="s">
        <v>277</v>
      </c>
      <c r="D20" s="63" t="s">
        <v>32</v>
      </c>
      <c r="E20" s="68">
        <v>24</v>
      </c>
      <c r="F20" s="68">
        <v>24</v>
      </c>
      <c r="G20" s="123">
        <v>2021</v>
      </c>
      <c r="H20" s="66"/>
      <c r="I20" s="65">
        <f>578.338+31.313</f>
        <v>609.651</v>
      </c>
      <c r="J20" s="65">
        <f>578.338+31.313</f>
        <v>609.651</v>
      </c>
      <c r="K20" s="17">
        <f t="shared" si="0"/>
        <v>0</v>
      </c>
      <c r="L20" s="17"/>
      <c r="M20" s="198"/>
      <c r="N20" s="198"/>
      <c r="O20" s="30">
        <f t="shared" si="1"/>
        <v>609.651</v>
      </c>
      <c r="P20" s="30"/>
      <c r="Q20" s="30"/>
      <c r="R20" s="30"/>
      <c r="S20" s="24" t="s">
        <v>48</v>
      </c>
      <c r="T20" s="30">
        <v>100</v>
      </c>
      <c r="U20" s="48" t="s">
        <v>48</v>
      </c>
      <c r="V20" s="48" t="s">
        <v>48</v>
      </c>
      <c r="W20" s="48" t="s">
        <v>48</v>
      </c>
      <c r="X20" s="48" t="s">
        <v>48</v>
      </c>
      <c r="Y20" s="48" t="s">
        <v>48</v>
      </c>
      <c r="Z20" s="48" t="s">
        <v>48</v>
      </c>
      <c r="AA20" s="24" t="s">
        <v>48</v>
      </c>
      <c r="AB20" s="36" t="s">
        <v>93</v>
      </c>
    </row>
    <row r="21" spans="1:28" s="13" customFormat="1" ht="18" customHeight="1">
      <c r="A21" s="100" t="s">
        <v>57</v>
      </c>
      <c r="B21" s="304"/>
      <c r="C21" s="27" t="s">
        <v>105</v>
      </c>
      <c r="D21" s="63" t="s">
        <v>32</v>
      </c>
      <c r="E21" s="68">
        <v>77</v>
      </c>
      <c r="F21" s="68">
        <v>77</v>
      </c>
      <c r="G21" s="123">
        <v>2021</v>
      </c>
      <c r="H21" s="66"/>
      <c r="I21" s="65">
        <f>1057.09+223.3</f>
        <v>1280.3899999999999</v>
      </c>
      <c r="J21" s="65">
        <f>1057.09+223.3</f>
        <v>1280.3899999999999</v>
      </c>
      <c r="K21" s="17">
        <f t="shared" si="0"/>
        <v>0</v>
      </c>
      <c r="L21" s="17"/>
      <c r="M21" s="198"/>
      <c r="N21" s="198"/>
      <c r="O21" s="30">
        <f t="shared" si="1"/>
        <v>1280.3899999999999</v>
      </c>
      <c r="P21" s="30"/>
      <c r="Q21" s="30"/>
      <c r="R21" s="30"/>
      <c r="S21" s="24" t="s">
        <v>48</v>
      </c>
      <c r="T21" s="30">
        <v>100</v>
      </c>
      <c r="U21" s="48" t="s">
        <v>48</v>
      </c>
      <c r="V21" s="48" t="s">
        <v>48</v>
      </c>
      <c r="W21" s="48" t="s">
        <v>48</v>
      </c>
      <c r="X21" s="48" t="s">
        <v>48</v>
      </c>
      <c r="Y21" s="48" t="s">
        <v>48</v>
      </c>
      <c r="Z21" s="48" t="s">
        <v>48</v>
      </c>
      <c r="AA21" s="24" t="s">
        <v>48</v>
      </c>
      <c r="AB21" s="36" t="s">
        <v>93</v>
      </c>
    </row>
    <row r="22" spans="1:28" s="13" customFormat="1" ht="18" customHeight="1">
      <c r="A22" s="100" t="s">
        <v>58</v>
      </c>
      <c r="B22" s="304"/>
      <c r="C22" s="119" t="s">
        <v>106</v>
      </c>
      <c r="D22" s="63" t="s">
        <v>32</v>
      </c>
      <c r="E22" s="85">
        <v>24</v>
      </c>
      <c r="F22" s="85">
        <v>24</v>
      </c>
      <c r="G22" s="123">
        <v>2021</v>
      </c>
      <c r="H22" s="66"/>
      <c r="I22" s="65">
        <f>418.752+31.313</f>
        <v>450.065</v>
      </c>
      <c r="J22" s="65">
        <f>418.752+31.313</f>
        <v>450.065</v>
      </c>
      <c r="K22" s="17">
        <f t="shared" si="0"/>
        <v>0</v>
      </c>
      <c r="L22" s="17"/>
      <c r="M22" s="198"/>
      <c r="N22" s="198"/>
      <c r="O22" s="30">
        <f t="shared" si="1"/>
        <v>450.065</v>
      </c>
      <c r="P22" s="30"/>
      <c r="Q22" s="30"/>
      <c r="R22" s="30"/>
      <c r="S22" s="24" t="s">
        <v>48</v>
      </c>
      <c r="T22" s="30">
        <v>100</v>
      </c>
      <c r="U22" s="48" t="s">
        <v>48</v>
      </c>
      <c r="V22" s="48" t="s">
        <v>48</v>
      </c>
      <c r="W22" s="48" t="s">
        <v>48</v>
      </c>
      <c r="X22" s="48" t="s">
        <v>48</v>
      </c>
      <c r="Y22" s="48" t="s">
        <v>48</v>
      </c>
      <c r="Z22" s="48" t="s">
        <v>48</v>
      </c>
      <c r="AA22" s="24" t="s">
        <v>48</v>
      </c>
      <c r="AB22" s="36" t="s">
        <v>93</v>
      </c>
    </row>
    <row r="23" spans="1:28" s="13" customFormat="1" ht="17.25" customHeight="1">
      <c r="A23" s="100" t="s">
        <v>59</v>
      </c>
      <c r="B23" s="304"/>
      <c r="C23" s="119" t="s">
        <v>107</v>
      </c>
      <c r="D23" s="63" t="s">
        <v>32</v>
      </c>
      <c r="E23" s="85">
        <v>96</v>
      </c>
      <c r="F23" s="85">
        <v>96</v>
      </c>
      <c r="G23" s="123">
        <v>2021</v>
      </c>
      <c r="H23" s="66"/>
      <c r="I23" s="65">
        <f>1129.438+125.251</f>
        <v>1254.689</v>
      </c>
      <c r="J23" s="65">
        <f>1129.438+125.251</f>
        <v>1254.689</v>
      </c>
      <c r="K23" s="17">
        <f t="shared" si="0"/>
        <v>0</v>
      </c>
      <c r="L23" s="17"/>
      <c r="M23" s="198"/>
      <c r="N23" s="198"/>
      <c r="O23" s="30">
        <f t="shared" si="1"/>
        <v>1254.689</v>
      </c>
      <c r="P23" s="30"/>
      <c r="Q23" s="30"/>
      <c r="R23" s="30"/>
      <c r="S23" s="24" t="s">
        <v>48</v>
      </c>
      <c r="T23" s="30">
        <v>100</v>
      </c>
      <c r="U23" s="48" t="s">
        <v>48</v>
      </c>
      <c r="V23" s="48" t="s">
        <v>48</v>
      </c>
      <c r="W23" s="48" t="s">
        <v>48</v>
      </c>
      <c r="X23" s="48" t="s">
        <v>48</v>
      </c>
      <c r="Y23" s="48" t="s">
        <v>48</v>
      </c>
      <c r="Z23" s="48" t="s">
        <v>48</v>
      </c>
      <c r="AA23" s="24" t="s">
        <v>48</v>
      </c>
      <c r="AB23" s="36" t="s">
        <v>93</v>
      </c>
    </row>
    <row r="24" spans="1:28" s="13" customFormat="1" ht="20.25" customHeight="1">
      <c r="A24" s="100" t="s">
        <v>60</v>
      </c>
      <c r="B24" s="304"/>
      <c r="C24" s="119" t="s">
        <v>267</v>
      </c>
      <c r="D24" s="63" t="s">
        <v>32</v>
      </c>
      <c r="E24" s="85">
        <v>165</v>
      </c>
      <c r="F24" s="85">
        <v>165</v>
      </c>
      <c r="G24" s="123">
        <v>2021</v>
      </c>
      <c r="H24" s="66"/>
      <c r="I24" s="65">
        <f>6657.329+1805.1</f>
        <v>8462.429</v>
      </c>
      <c r="J24" s="65">
        <f>6657.329+1805.1</f>
        <v>8462.429</v>
      </c>
      <c r="K24" s="17">
        <f t="shared" si="0"/>
        <v>0</v>
      </c>
      <c r="L24" s="17"/>
      <c r="M24" s="198"/>
      <c r="N24" s="198"/>
      <c r="O24" s="30">
        <f t="shared" si="1"/>
        <v>8462.429</v>
      </c>
      <c r="P24" s="30"/>
      <c r="Q24" s="30"/>
      <c r="R24" s="30"/>
      <c r="S24" s="24" t="s">
        <v>48</v>
      </c>
      <c r="T24" s="30">
        <v>100</v>
      </c>
      <c r="U24" s="48" t="s">
        <v>48</v>
      </c>
      <c r="V24" s="48" t="s">
        <v>48</v>
      </c>
      <c r="W24" s="48" t="s">
        <v>48</v>
      </c>
      <c r="X24" s="48" t="s">
        <v>48</v>
      </c>
      <c r="Y24" s="48" t="s">
        <v>48</v>
      </c>
      <c r="Z24" s="48" t="s">
        <v>48</v>
      </c>
      <c r="AA24" s="24" t="s">
        <v>48</v>
      </c>
      <c r="AB24" s="36" t="s">
        <v>93</v>
      </c>
    </row>
    <row r="25" spans="1:28" s="13" customFormat="1" ht="16.5" customHeight="1">
      <c r="A25" s="100" t="s">
        <v>61</v>
      </c>
      <c r="B25" s="304"/>
      <c r="C25" s="119" t="s">
        <v>276</v>
      </c>
      <c r="D25" s="63" t="s">
        <v>32</v>
      </c>
      <c r="E25" s="85">
        <v>124</v>
      </c>
      <c r="F25" s="85">
        <v>124</v>
      </c>
      <c r="G25" s="123">
        <v>2021</v>
      </c>
      <c r="H25" s="66"/>
      <c r="I25" s="65">
        <f>2700.748+388.986</f>
        <v>3089.734</v>
      </c>
      <c r="J25" s="65">
        <f>2700.748+388.986</f>
        <v>3089.734</v>
      </c>
      <c r="K25" s="17">
        <f t="shared" si="0"/>
        <v>0</v>
      </c>
      <c r="L25" s="17"/>
      <c r="M25" s="198"/>
      <c r="N25" s="198"/>
      <c r="O25" s="30">
        <f t="shared" si="1"/>
        <v>3089.734</v>
      </c>
      <c r="P25" s="30"/>
      <c r="Q25" s="30"/>
      <c r="R25" s="30"/>
      <c r="S25" s="24" t="s">
        <v>48</v>
      </c>
      <c r="T25" s="30">
        <v>100</v>
      </c>
      <c r="U25" s="48" t="s">
        <v>48</v>
      </c>
      <c r="V25" s="48" t="s">
        <v>48</v>
      </c>
      <c r="W25" s="48" t="s">
        <v>48</v>
      </c>
      <c r="X25" s="48" t="s">
        <v>48</v>
      </c>
      <c r="Y25" s="48" t="s">
        <v>48</v>
      </c>
      <c r="Z25" s="48" t="s">
        <v>48</v>
      </c>
      <c r="AA25" s="24" t="s">
        <v>48</v>
      </c>
      <c r="AB25" s="36" t="s">
        <v>93</v>
      </c>
    </row>
    <row r="26" spans="1:28" s="13" customFormat="1" ht="18" customHeight="1">
      <c r="A26" s="100" t="s">
        <v>62</v>
      </c>
      <c r="B26" s="304"/>
      <c r="C26" s="119" t="s">
        <v>108</v>
      </c>
      <c r="D26" s="63" t="s">
        <v>32</v>
      </c>
      <c r="E26" s="85">
        <v>20</v>
      </c>
      <c r="F26" s="85">
        <v>20</v>
      </c>
      <c r="G26" s="123">
        <v>2021</v>
      </c>
      <c r="H26" s="66"/>
      <c r="I26" s="65">
        <f>353.041+28.374</f>
        <v>381.415</v>
      </c>
      <c r="J26" s="65">
        <f>353.041+28.374</f>
        <v>381.415</v>
      </c>
      <c r="K26" s="17">
        <f t="shared" si="0"/>
        <v>0</v>
      </c>
      <c r="L26" s="17"/>
      <c r="M26" s="198"/>
      <c r="N26" s="198"/>
      <c r="O26" s="30">
        <f t="shared" si="1"/>
        <v>381.415</v>
      </c>
      <c r="P26" s="30"/>
      <c r="Q26" s="30"/>
      <c r="R26" s="30"/>
      <c r="S26" s="24" t="s">
        <v>48</v>
      </c>
      <c r="T26" s="30">
        <v>100</v>
      </c>
      <c r="U26" s="48" t="s">
        <v>48</v>
      </c>
      <c r="V26" s="48" t="s">
        <v>48</v>
      </c>
      <c r="W26" s="48" t="s">
        <v>48</v>
      </c>
      <c r="X26" s="48" t="s">
        <v>48</v>
      </c>
      <c r="Y26" s="48" t="s">
        <v>48</v>
      </c>
      <c r="Z26" s="48" t="s">
        <v>48</v>
      </c>
      <c r="AA26" s="24" t="s">
        <v>48</v>
      </c>
      <c r="AB26" s="36" t="s">
        <v>93</v>
      </c>
    </row>
    <row r="27" spans="1:28" s="13" customFormat="1" ht="20.25" customHeight="1">
      <c r="A27" s="100" t="s">
        <v>63</v>
      </c>
      <c r="B27" s="304"/>
      <c r="C27" s="119" t="s">
        <v>109</v>
      </c>
      <c r="D27" s="63" t="s">
        <v>32</v>
      </c>
      <c r="E27" s="85">
        <v>31</v>
      </c>
      <c r="F27" s="85">
        <v>31</v>
      </c>
      <c r="G27" s="123">
        <v>2021</v>
      </c>
      <c r="H27" s="66"/>
      <c r="I27" s="65">
        <f>503.237+15.084</f>
        <v>518.321</v>
      </c>
      <c r="J27" s="65">
        <f>503.237+15.084</f>
        <v>518.321</v>
      </c>
      <c r="K27" s="17">
        <f t="shared" si="0"/>
        <v>0</v>
      </c>
      <c r="L27" s="17"/>
      <c r="M27" s="198"/>
      <c r="N27" s="198"/>
      <c r="O27" s="30">
        <f t="shared" si="1"/>
        <v>518.321</v>
      </c>
      <c r="P27" s="30"/>
      <c r="Q27" s="30"/>
      <c r="R27" s="30"/>
      <c r="S27" s="24" t="s">
        <v>48</v>
      </c>
      <c r="T27" s="30">
        <v>100</v>
      </c>
      <c r="U27" s="48" t="s">
        <v>48</v>
      </c>
      <c r="V27" s="48" t="s">
        <v>48</v>
      </c>
      <c r="W27" s="48" t="s">
        <v>48</v>
      </c>
      <c r="X27" s="48" t="s">
        <v>48</v>
      </c>
      <c r="Y27" s="48" t="s">
        <v>48</v>
      </c>
      <c r="Z27" s="48" t="s">
        <v>48</v>
      </c>
      <c r="AA27" s="24" t="s">
        <v>48</v>
      </c>
      <c r="AB27" s="36" t="s">
        <v>93</v>
      </c>
    </row>
    <row r="28" spans="1:28" s="13" customFormat="1" ht="19.5" customHeight="1">
      <c r="A28" s="100" t="s">
        <v>64</v>
      </c>
      <c r="B28" s="304"/>
      <c r="C28" s="119" t="s">
        <v>110</v>
      </c>
      <c r="D28" s="63" t="s">
        <v>32</v>
      </c>
      <c r="E28" s="85">
        <v>416</v>
      </c>
      <c r="F28" s="85">
        <v>416</v>
      </c>
      <c r="G28" s="123">
        <v>2021</v>
      </c>
      <c r="H28" s="66"/>
      <c r="I28" s="65">
        <f>8912.16+1111.136</f>
        <v>10023.296</v>
      </c>
      <c r="J28" s="65">
        <f>8912.16+1111.136</f>
        <v>10023.296</v>
      </c>
      <c r="K28" s="17">
        <f t="shared" si="0"/>
        <v>0</v>
      </c>
      <c r="L28" s="17"/>
      <c r="M28" s="198"/>
      <c r="N28" s="198"/>
      <c r="O28" s="30">
        <f t="shared" si="1"/>
        <v>10023.296</v>
      </c>
      <c r="P28" s="30"/>
      <c r="Q28" s="30"/>
      <c r="R28" s="30"/>
      <c r="S28" s="24" t="s">
        <v>48</v>
      </c>
      <c r="T28" s="30">
        <v>100</v>
      </c>
      <c r="U28" s="48" t="s">
        <v>48</v>
      </c>
      <c r="V28" s="48" t="s">
        <v>48</v>
      </c>
      <c r="W28" s="48" t="s">
        <v>48</v>
      </c>
      <c r="X28" s="48" t="s">
        <v>48</v>
      </c>
      <c r="Y28" s="48" t="s">
        <v>48</v>
      </c>
      <c r="Z28" s="48" t="s">
        <v>48</v>
      </c>
      <c r="AA28" s="24" t="s">
        <v>48</v>
      </c>
      <c r="AB28" s="36" t="s">
        <v>93</v>
      </c>
    </row>
    <row r="29" spans="1:28" s="13" customFormat="1" ht="19.5" customHeight="1">
      <c r="A29" s="100" t="s">
        <v>65</v>
      </c>
      <c r="B29" s="304"/>
      <c r="C29" s="119" t="s">
        <v>274</v>
      </c>
      <c r="D29" s="63" t="s">
        <v>32</v>
      </c>
      <c r="E29" s="85">
        <v>120</v>
      </c>
      <c r="F29" s="85">
        <v>120</v>
      </c>
      <c r="G29" s="123">
        <v>2021</v>
      </c>
      <c r="H29" s="66"/>
      <c r="I29" s="65">
        <f>3393.613+349.989</f>
        <v>3743.602</v>
      </c>
      <c r="J29" s="65">
        <f>3393.613+349.989</f>
        <v>3743.602</v>
      </c>
      <c r="K29" s="17">
        <f t="shared" si="0"/>
        <v>0</v>
      </c>
      <c r="L29" s="17"/>
      <c r="M29" s="198"/>
      <c r="N29" s="198"/>
      <c r="O29" s="30">
        <f t="shared" si="1"/>
        <v>3743.602</v>
      </c>
      <c r="P29" s="30"/>
      <c r="Q29" s="30"/>
      <c r="R29" s="30"/>
      <c r="S29" s="24" t="s">
        <v>48</v>
      </c>
      <c r="T29" s="30">
        <v>100</v>
      </c>
      <c r="U29" s="48" t="s">
        <v>48</v>
      </c>
      <c r="V29" s="48" t="s">
        <v>48</v>
      </c>
      <c r="W29" s="48" t="s">
        <v>48</v>
      </c>
      <c r="X29" s="48" t="s">
        <v>48</v>
      </c>
      <c r="Y29" s="48" t="s">
        <v>48</v>
      </c>
      <c r="Z29" s="48" t="s">
        <v>48</v>
      </c>
      <c r="AA29" s="24" t="s">
        <v>48</v>
      </c>
      <c r="AB29" s="36" t="s">
        <v>93</v>
      </c>
    </row>
    <row r="30" spans="1:28" s="13" customFormat="1" ht="18" customHeight="1">
      <c r="A30" s="100" t="s">
        <v>66</v>
      </c>
      <c r="B30" s="304"/>
      <c r="C30" s="70" t="s">
        <v>275</v>
      </c>
      <c r="D30" s="63" t="s">
        <v>32</v>
      </c>
      <c r="E30" s="85">
        <v>245</v>
      </c>
      <c r="F30" s="85">
        <v>245</v>
      </c>
      <c r="G30" s="123">
        <v>2021</v>
      </c>
      <c r="H30" s="66"/>
      <c r="I30" s="65">
        <f>5888.003+654.395</f>
        <v>6542.397999999999</v>
      </c>
      <c r="J30" s="65">
        <f>5888.003+654.395</f>
        <v>6542.397999999999</v>
      </c>
      <c r="K30" s="17">
        <f t="shared" si="0"/>
        <v>0</v>
      </c>
      <c r="L30" s="17"/>
      <c r="M30" s="198"/>
      <c r="N30" s="198"/>
      <c r="O30" s="30">
        <f t="shared" si="1"/>
        <v>6542.397999999999</v>
      </c>
      <c r="P30" s="30"/>
      <c r="Q30" s="30"/>
      <c r="R30" s="30"/>
      <c r="S30" s="24" t="s">
        <v>48</v>
      </c>
      <c r="T30" s="30">
        <v>100</v>
      </c>
      <c r="U30" s="48" t="s">
        <v>48</v>
      </c>
      <c r="V30" s="48" t="s">
        <v>48</v>
      </c>
      <c r="W30" s="48" t="s">
        <v>48</v>
      </c>
      <c r="X30" s="48" t="s">
        <v>48</v>
      </c>
      <c r="Y30" s="48" t="s">
        <v>48</v>
      </c>
      <c r="Z30" s="48" t="s">
        <v>48</v>
      </c>
      <c r="AA30" s="24" t="s">
        <v>48</v>
      </c>
      <c r="AB30" s="36" t="s">
        <v>93</v>
      </c>
    </row>
    <row r="31" spans="1:28" s="13" customFormat="1" ht="15.75" customHeight="1">
      <c r="A31" s="100" t="s">
        <v>67</v>
      </c>
      <c r="B31" s="304"/>
      <c r="C31" s="70" t="s">
        <v>111</v>
      </c>
      <c r="D31" s="63" t="s">
        <v>32</v>
      </c>
      <c r="E31" s="85">
        <v>180</v>
      </c>
      <c r="F31" s="85">
        <v>180</v>
      </c>
      <c r="G31" s="123">
        <v>2021</v>
      </c>
      <c r="H31" s="66"/>
      <c r="I31" s="65">
        <f>2183.104+255.368</f>
        <v>2438.4719999999998</v>
      </c>
      <c r="J31" s="65">
        <f>2183.104+255.368</f>
        <v>2438.4719999999998</v>
      </c>
      <c r="K31" s="17">
        <f t="shared" si="0"/>
        <v>0</v>
      </c>
      <c r="L31" s="17"/>
      <c r="M31" s="198"/>
      <c r="N31" s="198"/>
      <c r="O31" s="30">
        <f t="shared" si="1"/>
        <v>2438.4719999999998</v>
      </c>
      <c r="P31" s="30"/>
      <c r="Q31" s="30"/>
      <c r="R31" s="30"/>
      <c r="S31" s="24" t="s">
        <v>48</v>
      </c>
      <c r="T31" s="30">
        <v>100</v>
      </c>
      <c r="U31" s="48" t="s">
        <v>48</v>
      </c>
      <c r="V31" s="48" t="s">
        <v>48</v>
      </c>
      <c r="W31" s="48" t="s">
        <v>48</v>
      </c>
      <c r="X31" s="48" t="s">
        <v>48</v>
      </c>
      <c r="Y31" s="48" t="s">
        <v>48</v>
      </c>
      <c r="Z31" s="48" t="s">
        <v>48</v>
      </c>
      <c r="AA31" s="24" t="s">
        <v>48</v>
      </c>
      <c r="AB31" s="36" t="s">
        <v>93</v>
      </c>
    </row>
    <row r="32" spans="1:28" s="13" customFormat="1" ht="20.25" customHeight="1">
      <c r="A32" s="100" t="s">
        <v>68</v>
      </c>
      <c r="B32" s="304"/>
      <c r="C32" s="70" t="s">
        <v>282</v>
      </c>
      <c r="D32" s="63" t="s">
        <v>32</v>
      </c>
      <c r="E32" s="85">
        <v>37</v>
      </c>
      <c r="F32" s="85">
        <v>37</v>
      </c>
      <c r="G32" s="123">
        <v>2021</v>
      </c>
      <c r="H32" s="66"/>
      <c r="I32" s="65">
        <f>606.498+52.492</f>
        <v>658.99</v>
      </c>
      <c r="J32" s="65">
        <f>606.498+52.492</f>
        <v>658.99</v>
      </c>
      <c r="K32" s="17">
        <f t="shared" si="0"/>
        <v>0</v>
      </c>
      <c r="L32" s="17"/>
      <c r="M32" s="198"/>
      <c r="N32" s="198"/>
      <c r="O32" s="30">
        <f t="shared" si="1"/>
        <v>658.99</v>
      </c>
      <c r="P32" s="30"/>
      <c r="Q32" s="30"/>
      <c r="R32" s="30"/>
      <c r="S32" s="24" t="s">
        <v>48</v>
      </c>
      <c r="T32" s="30">
        <v>100</v>
      </c>
      <c r="U32" s="48" t="s">
        <v>48</v>
      </c>
      <c r="V32" s="48" t="s">
        <v>48</v>
      </c>
      <c r="W32" s="48" t="s">
        <v>48</v>
      </c>
      <c r="X32" s="48" t="s">
        <v>48</v>
      </c>
      <c r="Y32" s="48" t="s">
        <v>48</v>
      </c>
      <c r="Z32" s="48" t="s">
        <v>48</v>
      </c>
      <c r="AA32" s="24" t="s">
        <v>48</v>
      </c>
      <c r="AB32" s="36" t="s">
        <v>93</v>
      </c>
    </row>
    <row r="33" spans="1:28" s="13" customFormat="1" ht="19.5" customHeight="1">
      <c r="A33" s="100" t="s">
        <v>69</v>
      </c>
      <c r="B33" s="304"/>
      <c r="C33" s="70" t="s">
        <v>112</v>
      </c>
      <c r="D33" s="63" t="s">
        <v>32</v>
      </c>
      <c r="E33" s="85">
        <v>137</v>
      </c>
      <c r="F33" s="85">
        <v>137</v>
      </c>
      <c r="G33" s="123">
        <v>2021</v>
      </c>
      <c r="H33" s="66"/>
      <c r="I33" s="65">
        <f>1885.897+194.363</f>
        <v>2080.2599999999998</v>
      </c>
      <c r="J33" s="65">
        <f>1885.897+194.363</f>
        <v>2080.2599999999998</v>
      </c>
      <c r="K33" s="17">
        <f t="shared" si="0"/>
        <v>0</v>
      </c>
      <c r="L33" s="17"/>
      <c r="M33" s="198"/>
      <c r="N33" s="198"/>
      <c r="O33" s="30">
        <f t="shared" si="1"/>
        <v>2080.2599999999998</v>
      </c>
      <c r="P33" s="30"/>
      <c r="Q33" s="30"/>
      <c r="R33" s="30"/>
      <c r="S33" s="24" t="s">
        <v>48</v>
      </c>
      <c r="T33" s="30">
        <v>100</v>
      </c>
      <c r="U33" s="48" t="s">
        <v>48</v>
      </c>
      <c r="V33" s="48" t="s">
        <v>48</v>
      </c>
      <c r="W33" s="48" t="s">
        <v>48</v>
      </c>
      <c r="X33" s="48" t="s">
        <v>48</v>
      </c>
      <c r="Y33" s="48" t="s">
        <v>48</v>
      </c>
      <c r="Z33" s="48" t="s">
        <v>48</v>
      </c>
      <c r="AA33" s="24" t="s">
        <v>48</v>
      </c>
      <c r="AB33" s="36" t="s">
        <v>93</v>
      </c>
    </row>
    <row r="34" spans="1:28" s="13" customFormat="1" ht="17.25" customHeight="1">
      <c r="A34" s="100" t="s">
        <v>70</v>
      </c>
      <c r="B34" s="304"/>
      <c r="C34" s="119" t="s">
        <v>113</v>
      </c>
      <c r="D34" s="63" t="s">
        <v>32</v>
      </c>
      <c r="E34" s="85">
        <v>23</v>
      </c>
      <c r="F34" s="85">
        <v>23</v>
      </c>
      <c r="G34" s="123">
        <v>2021</v>
      </c>
      <c r="H34" s="66"/>
      <c r="I34" s="65">
        <f>606.385+31.566</f>
        <v>637.951</v>
      </c>
      <c r="J34" s="65">
        <f>606.385+31.566</f>
        <v>637.951</v>
      </c>
      <c r="K34" s="17">
        <f t="shared" si="0"/>
        <v>0</v>
      </c>
      <c r="L34" s="17"/>
      <c r="M34" s="198"/>
      <c r="N34" s="198"/>
      <c r="O34" s="30">
        <f t="shared" si="1"/>
        <v>637.951</v>
      </c>
      <c r="P34" s="30"/>
      <c r="Q34" s="30"/>
      <c r="R34" s="30"/>
      <c r="S34" s="24" t="s">
        <v>48</v>
      </c>
      <c r="T34" s="30">
        <v>100</v>
      </c>
      <c r="U34" s="48" t="s">
        <v>48</v>
      </c>
      <c r="V34" s="48" t="s">
        <v>48</v>
      </c>
      <c r="W34" s="48" t="s">
        <v>48</v>
      </c>
      <c r="X34" s="48" t="s">
        <v>48</v>
      </c>
      <c r="Y34" s="48" t="s">
        <v>48</v>
      </c>
      <c r="Z34" s="48" t="s">
        <v>48</v>
      </c>
      <c r="AA34" s="24" t="s">
        <v>48</v>
      </c>
      <c r="AB34" s="36" t="s">
        <v>93</v>
      </c>
    </row>
    <row r="35" spans="1:28" s="13" customFormat="1" ht="32.25" customHeight="1">
      <c r="A35" s="100" t="s">
        <v>71</v>
      </c>
      <c r="B35" s="304"/>
      <c r="C35" s="70" t="s">
        <v>114</v>
      </c>
      <c r="D35" s="63" t="s">
        <v>32</v>
      </c>
      <c r="E35" s="85">
        <v>376</v>
      </c>
      <c r="F35" s="85">
        <v>376</v>
      </c>
      <c r="G35" s="123">
        <v>2021</v>
      </c>
      <c r="H35" s="66"/>
      <c r="I35" s="65">
        <f>6027.656+1004.296</f>
        <v>7031.952</v>
      </c>
      <c r="J35" s="65">
        <f>6027.656+1004.296</f>
        <v>7031.952</v>
      </c>
      <c r="K35" s="17">
        <f t="shared" si="0"/>
        <v>0</v>
      </c>
      <c r="L35" s="17"/>
      <c r="M35" s="198"/>
      <c r="N35" s="198"/>
      <c r="O35" s="30">
        <f t="shared" si="1"/>
        <v>7031.952</v>
      </c>
      <c r="P35" s="30"/>
      <c r="Q35" s="30"/>
      <c r="R35" s="30"/>
      <c r="S35" s="24" t="s">
        <v>48</v>
      </c>
      <c r="T35" s="30">
        <v>100</v>
      </c>
      <c r="U35" s="48" t="s">
        <v>48</v>
      </c>
      <c r="V35" s="48" t="s">
        <v>48</v>
      </c>
      <c r="W35" s="48" t="s">
        <v>48</v>
      </c>
      <c r="X35" s="48" t="s">
        <v>48</v>
      </c>
      <c r="Y35" s="48" t="s">
        <v>48</v>
      </c>
      <c r="Z35" s="48" t="s">
        <v>48</v>
      </c>
      <c r="AA35" s="24" t="s">
        <v>48</v>
      </c>
      <c r="AB35" s="36" t="s">
        <v>93</v>
      </c>
    </row>
    <row r="36" spans="1:28" s="13" customFormat="1" ht="18" customHeight="1">
      <c r="A36" s="100" t="s">
        <v>72</v>
      </c>
      <c r="B36" s="304"/>
      <c r="C36" s="70" t="s">
        <v>115</v>
      </c>
      <c r="D36" s="63" t="s">
        <v>32</v>
      </c>
      <c r="E36" s="85">
        <v>1357</v>
      </c>
      <c r="F36" s="85">
        <v>1357</v>
      </c>
      <c r="G36" s="123">
        <v>2021</v>
      </c>
      <c r="H36" s="66"/>
      <c r="I36" s="65">
        <f>27676.692+3624.547</f>
        <v>31301.238999999998</v>
      </c>
      <c r="J36" s="65">
        <f>27676.692+3624.547</f>
        <v>31301.238999999998</v>
      </c>
      <c r="K36" s="17">
        <f t="shared" si="0"/>
        <v>0</v>
      </c>
      <c r="L36" s="17"/>
      <c r="M36" s="198"/>
      <c r="N36" s="198"/>
      <c r="O36" s="30">
        <f t="shared" si="1"/>
        <v>31301.238999999998</v>
      </c>
      <c r="P36" s="30"/>
      <c r="Q36" s="30"/>
      <c r="R36" s="30"/>
      <c r="S36" s="24" t="s">
        <v>48</v>
      </c>
      <c r="T36" s="30">
        <v>100</v>
      </c>
      <c r="U36" s="48" t="s">
        <v>48</v>
      </c>
      <c r="V36" s="48" t="s">
        <v>48</v>
      </c>
      <c r="W36" s="48" t="s">
        <v>48</v>
      </c>
      <c r="X36" s="48" t="s">
        <v>48</v>
      </c>
      <c r="Y36" s="48" t="s">
        <v>48</v>
      </c>
      <c r="Z36" s="48" t="s">
        <v>48</v>
      </c>
      <c r="AA36" s="24" t="s">
        <v>48</v>
      </c>
      <c r="AB36" s="36" t="s">
        <v>93</v>
      </c>
    </row>
    <row r="37" spans="1:28" s="13" customFormat="1" ht="19.5" customHeight="1">
      <c r="A37" s="100" t="s">
        <v>73</v>
      </c>
      <c r="B37" s="304"/>
      <c r="C37" s="70" t="s">
        <v>116</v>
      </c>
      <c r="D37" s="63" t="s">
        <v>32</v>
      </c>
      <c r="E37" s="85">
        <v>41</v>
      </c>
      <c r="F37" s="85">
        <v>41</v>
      </c>
      <c r="G37" s="123">
        <v>2021</v>
      </c>
      <c r="H37" s="66"/>
      <c r="I37" s="65">
        <f>892.403+55.564</f>
        <v>947.967</v>
      </c>
      <c r="J37" s="65">
        <f>892.403+55.564</f>
        <v>947.967</v>
      </c>
      <c r="K37" s="17">
        <f t="shared" si="0"/>
        <v>0</v>
      </c>
      <c r="L37" s="17"/>
      <c r="M37" s="198"/>
      <c r="N37" s="198"/>
      <c r="O37" s="30">
        <f t="shared" si="1"/>
        <v>947.967</v>
      </c>
      <c r="P37" s="30"/>
      <c r="Q37" s="30"/>
      <c r="R37" s="30"/>
      <c r="S37" s="24" t="s">
        <v>48</v>
      </c>
      <c r="T37" s="30">
        <v>100</v>
      </c>
      <c r="U37" s="48" t="s">
        <v>48</v>
      </c>
      <c r="V37" s="48" t="s">
        <v>48</v>
      </c>
      <c r="W37" s="48" t="s">
        <v>48</v>
      </c>
      <c r="X37" s="48" t="s">
        <v>48</v>
      </c>
      <c r="Y37" s="48" t="s">
        <v>48</v>
      </c>
      <c r="Z37" s="48" t="s">
        <v>48</v>
      </c>
      <c r="AA37" s="24" t="s">
        <v>48</v>
      </c>
      <c r="AB37" s="36" t="s">
        <v>93</v>
      </c>
    </row>
    <row r="38" spans="1:28" s="13" customFormat="1" ht="20.25" customHeight="1">
      <c r="A38" s="100" t="s">
        <v>74</v>
      </c>
      <c r="B38" s="304"/>
      <c r="C38" s="70" t="s">
        <v>117</v>
      </c>
      <c r="D38" s="63" t="s">
        <v>32</v>
      </c>
      <c r="E38" s="85">
        <v>111</v>
      </c>
      <c r="F38" s="85">
        <v>111</v>
      </c>
      <c r="G38" s="123">
        <v>2021</v>
      </c>
      <c r="H38" s="66"/>
      <c r="I38" s="65">
        <f>1386.038+321.9</f>
        <v>1707.938</v>
      </c>
      <c r="J38" s="65">
        <f>1386.038+321.9</f>
        <v>1707.938</v>
      </c>
      <c r="K38" s="17">
        <f t="shared" si="0"/>
        <v>0</v>
      </c>
      <c r="L38" s="17"/>
      <c r="M38" s="198"/>
      <c r="N38" s="198"/>
      <c r="O38" s="30">
        <f t="shared" si="1"/>
        <v>1707.938</v>
      </c>
      <c r="P38" s="30"/>
      <c r="Q38" s="30"/>
      <c r="R38" s="30"/>
      <c r="S38" s="24" t="s">
        <v>48</v>
      </c>
      <c r="T38" s="30">
        <v>100</v>
      </c>
      <c r="U38" s="48" t="s">
        <v>48</v>
      </c>
      <c r="V38" s="48" t="s">
        <v>48</v>
      </c>
      <c r="W38" s="48" t="s">
        <v>48</v>
      </c>
      <c r="X38" s="48" t="s">
        <v>48</v>
      </c>
      <c r="Y38" s="48" t="s">
        <v>48</v>
      </c>
      <c r="Z38" s="48" t="s">
        <v>48</v>
      </c>
      <c r="AA38" s="24" t="s">
        <v>48</v>
      </c>
      <c r="AB38" s="36" t="s">
        <v>93</v>
      </c>
    </row>
    <row r="39" spans="1:28" s="13" customFormat="1" ht="18" customHeight="1">
      <c r="A39" s="100" t="s">
        <v>75</v>
      </c>
      <c r="B39" s="304"/>
      <c r="C39" s="70" t="s">
        <v>118</v>
      </c>
      <c r="D39" s="63" t="s">
        <v>32</v>
      </c>
      <c r="E39" s="86">
        <v>1333</v>
      </c>
      <c r="F39" s="86">
        <v>1333</v>
      </c>
      <c r="G39" s="123">
        <v>2021</v>
      </c>
      <c r="H39" s="66"/>
      <c r="I39" s="65">
        <f>40539.552+14583.02</f>
        <v>55122.572</v>
      </c>
      <c r="J39" s="65">
        <f>40539.552+14583.02</f>
        <v>55122.572</v>
      </c>
      <c r="K39" s="17">
        <f t="shared" si="0"/>
        <v>0</v>
      </c>
      <c r="L39" s="17"/>
      <c r="M39" s="198"/>
      <c r="N39" s="198"/>
      <c r="O39" s="30">
        <f t="shared" si="1"/>
        <v>55122.572</v>
      </c>
      <c r="P39" s="30"/>
      <c r="Q39" s="30"/>
      <c r="R39" s="30"/>
      <c r="S39" s="24" t="s">
        <v>48</v>
      </c>
      <c r="T39" s="30">
        <v>100</v>
      </c>
      <c r="U39" s="48" t="s">
        <v>48</v>
      </c>
      <c r="V39" s="48" t="s">
        <v>48</v>
      </c>
      <c r="W39" s="48" t="s">
        <v>48</v>
      </c>
      <c r="X39" s="48" t="s">
        <v>48</v>
      </c>
      <c r="Y39" s="48" t="s">
        <v>48</v>
      </c>
      <c r="Z39" s="48" t="s">
        <v>48</v>
      </c>
      <c r="AA39" s="24" t="s">
        <v>48</v>
      </c>
      <c r="AB39" s="36" t="s">
        <v>93</v>
      </c>
    </row>
    <row r="40" spans="1:28" s="13" customFormat="1" ht="17.25" customHeight="1">
      <c r="A40" s="100" t="s">
        <v>76</v>
      </c>
      <c r="B40" s="304"/>
      <c r="C40" s="70" t="s">
        <v>284</v>
      </c>
      <c r="D40" s="63" t="s">
        <v>32</v>
      </c>
      <c r="E40" s="85">
        <v>195</v>
      </c>
      <c r="F40" s="85">
        <v>195</v>
      </c>
      <c r="G40" s="123">
        <v>2021</v>
      </c>
      <c r="H40" s="66"/>
      <c r="I40" s="65">
        <f>2178.098+276.648</f>
        <v>2454.746</v>
      </c>
      <c r="J40" s="65">
        <f>2178.098+276.648</f>
        <v>2454.746</v>
      </c>
      <c r="K40" s="17">
        <f t="shared" si="0"/>
        <v>0</v>
      </c>
      <c r="L40" s="17"/>
      <c r="M40" s="198"/>
      <c r="N40" s="198"/>
      <c r="O40" s="30">
        <f t="shared" si="1"/>
        <v>2454.746</v>
      </c>
      <c r="P40" s="30"/>
      <c r="Q40" s="30"/>
      <c r="R40" s="30"/>
      <c r="S40" s="24" t="s">
        <v>48</v>
      </c>
      <c r="T40" s="30">
        <v>100</v>
      </c>
      <c r="U40" s="48" t="s">
        <v>48</v>
      </c>
      <c r="V40" s="48" t="s">
        <v>48</v>
      </c>
      <c r="W40" s="48" t="s">
        <v>48</v>
      </c>
      <c r="X40" s="48" t="s">
        <v>48</v>
      </c>
      <c r="Y40" s="48" t="s">
        <v>48</v>
      </c>
      <c r="Z40" s="48" t="s">
        <v>48</v>
      </c>
      <c r="AA40" s="24" t="s">
        <v>48</v>
      </c>
      <c r="AB40" s="36" t="s">
        <v>93</v>
      </c>
    </row>
    <row r="41" spans="1:28" s="13" customFormat="1" ht="19.5" customHeight="1">
      <c r="A41" s="100" t="s">
        <v>77</v>
      </c>
      <c r="B41" s="304"/>
      <c r="C41" s="70" t="s">
        <v>283</v>
      </c>
      <c r="D41" s="63" t="s">
        <v>32</v>
      </c>
      <c r="E41" s="85">
        <v>35</v>
      </c>
      <c r="F41" s="85">
        <v>35</v>
      </c>
      <c r="G41" s="123">
        <v>2021</v>
      </c>
      <c r="H41" s="66"/>
      <c r="I41" s="65">
        <f>345.156+17.03</f>
        <v>362.18600000000004</v>
      </c>
      <c r="J41" s="65">
        <f>345.156+17.03</f>
        <v>362.18600000000004</v>
      </c>
      <c r="K41" s="17">
        <f t="shared" si="0"/>
        <v>0</v>
      </c>
      <c r="L41" s="17"/>
      <c r="M41" s="198"/>
      <c r="N41" s="198"/>
      <c r="O41" s="30">
        <f t="shared" si="1"/>
        <v>362.18600000000004</v>
      </c>
      <c r="P41" s="30"/>
      <c r="Q41" s="30"/>
      <c r="R41" s="30"/>
      <c r="S41" s="24" t="s">
        <v>48</v>
      </c>
      <c r="T41" s="30">
        <v>100</v>
      </c>
      <c r="U41" s="48" t="s">
        <v>48</v>
      </c>
      <c r="V41" s="48" t="s">
        <v>48</v>
      </c>
      <c r="W41" s="48" t="s">
        <v>48</v>
      </c>
      <c r="X41" s="48" t="s">
        <v>48</v>
      </c>
      <c r="Y41" s="48" t="s">
        <v>48</v>
      </c>
      <c r="Z41" s="48" t="s">
        <v>48</v>
      </c>
      <c r="AA41" s="24" t="s">
        <v>48</v>
      </c>
      <c r="AB41" s="36" t="s">
        <v>93</v>
      </c>
    </row>
    <row r="42" spans="1:28" s="13" customFormat="1" ht="19.5" customHeight="1">
      <c r="A42" s="100" t="s">
        <v>78</v>
      </c>
      <c r="B42" s="304"/>
      <c r="C42" s="70" t="s">
        <v>119</v>
      </c>
      <c r="D42" s="63" t="s">
        <v>32</v>
      </c>
      <c r="E42" s="85">
        <v>180</v>
      </c>
      <c r="F42" s="85">
        <v>180</v>
      </c>
      <c r="G42" s="123">
        <v>2021</v>
      </c>
      <c r="H42" s="66"/>
      <c r="I42" s="65">
        <f>255.368+1824.107</f>
        <v>2079.475</v>
      </c>
      <c r="J42" s="65">
        <f>255.368+1824.107</f>
        <v>2079.475</v>
      </c>
      <c r="K42" s="17">
        <f t="shared" si="0"/>
        <v>0</v>
      </c>
      <c r="L42" s="17"/>
      <c r="M42" s="198"/>
      <c r="N42" s="198"/>
      <c r="O42" s="30">
        <f t="shared" si="1"/>
        <v>2079.475</v>
      </c>
      <c r="P42" s="30"/>
      <c r="Q42" s="30"/>
      <c r="R42" s="30"/>
      <c r="S42" s="24" t="s">
        <v>48</v>
      </c>
      <c r="T42" s="30">
        <v>100</v>
      </c>
      <c r="U42" s="48" t="s">
        <v>48</v>
      </c>
      <c r="V42" s="48" t="s">
        <v>48</v>
      </c>
      <c r="W42" s="48" t="s">
        <v>48</v>
      </c>
      <c r="X42" s="48" t="s">
        <v>48</v>
      </c>
      <c r="Y42" s="48" t="s">
        <v>48</v>
      </c>
      <c r="Z42" s="48" t="s">
        <v>48</v>
      </c>
      <c r="AA42" s="24" t="s">
        <v>48</v>
      </c>
      <c r="AB42" s="36" t="s">
        <v>93</v>
      </c>
    </row>
    <row r="43" spans="1:28" s="13" customFormat="1" ht="20.25" customHeight="1">
      <c r="A43" s="100" t="s">
        <v>79</v>
      </c>
      <c r="B43" s="304"/>
      <c r="C43" s="70" t="s">
        <v>120</v>
      </c>
      <c r="D43" s="63" t="s">
        <v>32</v>
      </c>
      <c r="E43" s="85">
        <v>70</v>
      </c>
      <c r="F43" s="85">
        <v>70</v>
      </c>
      <c r="G43" s="123">
        <v>2021</v>
      </c>
      <c r="H43" s="66"/>
      <c r="I43" s="65">
        <f>34.06+789.071</f>
        <v>823.1310000000001</v>
      </c>
      <c r="J43" s="65">
        <f>34.06+789.071</f>
        <v>823.1310000000001</v>
      </c>
      <c r="K43" s="17">
        <f t="shared" si="0"/>
        <v>0</v>
      </c>
      <c r="L43" s="17"/>
      <c r="M43" s="198"/>
      <c r="N43" s="198"/>
      <c r="O43" s="30">
        <f t="shared" si="1"/>
        <v>823.1310000000001</v>
      </c>
      <c r="P43" s="30"/>
      <c r="Q43" s="30"/>
      <c r="R43" s="30"/>
      <c r="S43" s="24" t="s">
        <v>48</v>
      </c>
      <c r="T43" s="30">
        <v>100</v>
      </c>
      <c r="U43" s="48" t="s">
        <v>48</v>
      </c>
      <c r="V43" s="48" t="s">
        <v>48</v>
      </c>
      <c r="W43" s="48" t="s">
        <v>48</v>
      </c>
      <c r="X43" s="48" t="s">
        <v>48</v>
      </c>
      <c r="Y43" s="48" t="s">
        <v>48</v>
      </c>
      <c r="Z43" s="48" t="s">
        <v>48</v>
      </c>
      <c r="AA43" s="24" t="s">
        <v>48</v>
      </c>
      <c r="AB43" s="36" t="s">
        <v>93</v>
      </c>
    </row>
    <row r="44" spans="1:28" s="13" customFormat="1" ht="20.25" customHeight="1">
      <c r="A44" s="100" t="s">
        <v>80</v>
      </c>
      <c r="B44" s="304"/>
      <c r="C44" s="70" t="s">
        <v>121</v>
      </c>
      <c r="D44" s="63" t="s">
        <v>32</v>
      </c>
      <c r="E44" s="85">
        <v>48</v>
      </c>
      <c r="F44" s="85">
        <v>48</v>
      </c>
      <c r="G44" s="123">
        <v>2021</v>
      </c>
      <c r="H44" s="66"/>
      <c r="I44" s="65">
        <f>705.011+23.355</f>
        <v>728.366</v>
      </c>
      <c r="J44" s="65">
        <f>705.011+23.355</f>
        <v>728.366</v>
      </c>
      <c r="K44" s="17">
        <f t="shared" si="0"/>
        <v>0</v>
      </c>
      <c r="L44" s="17"/>
      <c r="M44" s="198"/>
      <c r="N44" s="198"/>
      <c r="O44" s="30">
        <f t="shared" si="1"/>
        <v>728.366</v>
      </c>
      <c r="P44" s="30"/>
      <c r="Q44" s="30"/>
      <c r="R44" s="30"/>
      <c r="S44" s="24" t="s">
        <v>48</v>
      </c>
      <c r="T44" s="30">
        <v>100</v>
      </c>
      <c r="U44" s="48" t="s">
        <v>48</v>
      </c>
      <c r="V44" s="48" t="s">
        <v>48</v>
      </c>
      <c r="W44" s="48" t="s">
        <v>48</v>
      </c>
      <c r="X44" s="48" t="s">
        <v>48</v>
      </c>
      <c r="Y44" s="48" t="s">
        <v>48</v>
      </c>
      <c r="Z44" s="48" t="s">
        <v>48</v>
      </c>
      <c r="AA44" s="24" t="s">
        <v>48</v>
      </c>
      <c r="AB44" s="36" t="s">
        <v>93</v>
      </c>
    </row>
    <row r="45" spans="1:28" s="13" customFormat="1" ht="27">
      <c r="A45" s="100" t="s">
        <v>81</v>
      </c>
      <c r="B45" s="304"/>
      <c r="C45" s="70" t="s">
        <v>285</v>
      </c>
      <c r="D45" s="63" t="s">
        <v>32</v>
      </c>
      <c r="E45" s="85">
        <v>198</v>
      </c>
      <c r="F45" s="85">
        <v>198</v>
      </c>
      <c r="G45" s="123">
        <v>2021</v>
      </c>
      <c r="H45" s="66"/>
      <c r="I45" s="65">
        <f>4614.115+1069.2</f>
        <v>5683.315</v>
      </c>
      <c r="J45" s="65">
        <f>4614.115+1069.2</f>
        <v>5683.315</v>
      </c>
      <c r="K45" s="17">
        <f t="shared" si="0"/>
        <v>0</v>
      </c>
      <c r="L45" s="17"/>
      <c r="M45" s="198"/>
      <c r="N45" s="198"/>
      <c r="O45" s="30">
        <f t="shared" si="1"/>
        <v>5683.315</v>
      </c>
      <c r="P45" s="30"/>
      <c r="Q45" s="30"/>
      <c r="R45" s="30"/>
      <c r="S45" s="24" t="s">
        <v>48</v>
      </c>
      <c r="T45" s="30">
        <v>100</v>
      </c>
      <c r="U45" s="48" t="s">
        <v>48</v>
      </c>
      <c r="V45" s="48" t="s">
        <v>48</v>
      </c>
      <c r="W45" s="48" t="s">
        <v>48</v>
      </c>
      <c r="X45" s="48" t="s">
        <v>48</v>
      </c>
      <c r="Y45" s="48" t="s">
        <v>48</v>
      </c>
      <c r="Z45" s="48" t="s">
        <v>48</v>
      </c>
      <c r="AA45" s="24" t="s">
        <v>48</v>
      </c>
      <c r="AB45" s="36" t="s">
        <v>93</v>
      </c>
    </row>
    <row r="46" spans="1:28" s="13" customFormat="1" ht="16.5" customHeight="1">
      <c r="A46" s="100" t="s">
        <v>82</v>
      </c>
      <c r="B46" s="304"/>
      <c r="C46" s="70" t="s">
        <v>272</v>
      </c>
      <c r="D46" s="63" t="s">
        <v>32</v>
      </c>
      <c r="E46" s="85">
        <v>40</v>
      </c>
      <c r="F46" s="85">
        <v>40</v>
      </c>
      <c r="G46" s="123">
        <v>2021</v>
      </c>
      <c r="H46" s="66"/>
      <c r="I46" s="65">
        <f>935.139+106.84</f>
        <v>1041.979</v>
      </c>
      <c r="J46" s="65">
        <f>935.139+106.84</f>
        <v>1041.979</v>
      </c>
      <c r="K46" s="17">
        <f t="shared" si="0"/>
        <v>0</v>
      </c>
      <c r="L46" s="17"/>
      <c r="M46" s="198"/>
      <c r="N46" s="198"/>
      <c r="O46" s="30">
        <f t="shared" si="1"/>
        <v>1041.979</v>
      </c>
      <c r="P46" s="30"/>
      <c r="Q46" s="30"/>
      <c r="R46" s="30"/>
      <c r="S46" s="24" t="s">
        <v>48</v>
      </c>
      <c r="T46" s="30">
        <v>100</v>
      </c>
      <c r="U46" s="48" t="s">
        <v>48</v>
      </c>
      <c r="V46" s="48" t="s">
        <v>48</v>
      </c>
      <c r="W46" s="48" t="s">
        <v>48</v>
      </c>
      <c r="X46" s="48" t="s">
        <v>48</v>
      </c>
      <c r="Y46" s="48" t="s">
        <v>48</v>
      </c>
      <c r="Z46" s="48" t="s">
        <v>48</v>
      </c>
      <c r="AA46" s="24" t="s">
        <v>48</v>
      </c>
      <c r="AB46" s="36" t="s">
        <v>93</v>
      </c>
    </row>
    <row r="47" spans="1:28" s="13" customFormat="1" ht="19.5" customHeight="1">
      <c r="A47" s="100" t="s">
        <v>83</v>
      </c>
      <c r="B47" s="304"/>
      <c r="C47" s="70" t="s">
        <v>273</v>
      </c>
      <c r="D47" s="63" t="s">
        <v>32</v>
      </c>
      <c r="E47" s="85">
        <v>40</v>
      </c>
      <c r="F47" s="85">
        <v>40</v>
      </c>
      <c r="G47" s="123">
        <v>2021</v>
      </c>
      <c r="H47" s="66"/>
      <c r="I47" s="65">
        <f>517.619+56.748</f>
        <v>574.3670000000001</v>
      </c>
      <c r="J47" s="65">
        <f>517.619+56.748</f>
        <v>574.3670000000001</v>
      </c>
      <c r="K47" s="17">
        <f t="shared" si="0"/>
        <v>0</v>
      </c>
      <c r="L47" s="18"/>
      <c r="M47" s="198"/>
      <c r="N47" s="198"/>
      <c r="O47" s="30">
        <f t="shared" si="1"/>
        <v>574.3670000000001</v>
      </c>
      <c r="P47" s="30"/>
      <c r="Q47" s="30"/>
      <c r="R47" s="30"/>
      <c r="S47" s="24" t="s">
        <v>48</v>
      </c>
      <c r="T47" s="30">
        <v>100</v>
      </c>
      <c r="U47" s="48" t="s">
        <v>48</v>
      </c>
      <c r="V47" s="48" t="s">
        <v>48</v>
      </c>
      <c r="W47" s="48" t="s">
        <v>48</v>
      </c>
      <c r="X47" s="48" t="s">
        <v>48</v>
      </c>
      <c r="Y47" s="48" t="s">
        <v>48</v>
      </c>
      <c r="Z47" s="48" t="s">
        <v>48</v>
      </c>
      <c r="AA47" s="24" t="s">
        <v>48</v>
      </c>
      <c r="AB47" s="36" t="s">
        <v>93</v>
      </c>
    </row>
    <row r="48" spans="1:28" s="13" customFormat="1" ht="35.25" customHeight="1">
      <c r="A48" s="100" t="s">
        <v>84</v>
      </c>
      <c r="B48" s="304"/>
      <c r="C48" s="70" t="s">
        <v>122</v>
      </c>
      <c r="D48" s="63" t="s">
        <v>32</v>
      </c>
      <c r="E48" s="85">
        <v>515</v>
      </c>
      <c r="F48" s="85">
        <v>531</v>
      </c>
      <c r="G48" s="123">
        <v>2021</v>
      </c>
      <c r="H48" s="66"/>
      <c r="I48" s="65">
        <f>5465.112+730.636</f>
        <v>6195.748</v>
      </c>
      <c r="J48" s="65">
        <f>7456.265+897.408</f>
        <v>8353.673</v>
      </c>
      <c r="K48" s="17">
        <f>J48-I48</f>
        <v>2157.925000000001</v>
      </c>
      <c r="L48" s="30" t="s">
        <v>95</v>
      </c>
      <c r="M48" s="198"/>
      <c r="N48" s="198"/>
      <c r="O48" s="30">
        <f t="shared" si="1"/>
        <v>8353.673</v>
      </c>
      <c r="P48" s="30"/>
      <c r="Q48" s="30"/>
      <c r="R48" s="30"/>
      <c r="S48" s="24" t="s">
        <v>48</v>
      </c>
      <c r="T48" s="30">
        <v>100</v>
      </c>
      <c r="U48" s="48" t="s">
        <v>48</v>
      </c>
      <c r="V48" s="48" t="s">
        <v>48</v>
      </c>
      <c r="W48" s="48" t="s">
        <v>48</v>
      </c>
      <c r="X48" s="48" t="s">
        <v>48</v>
      </c>
      <c r="Y48" s="48" t="s">
        <v>48</v>
      </c>
      <c r="Z48" s="48" t="s">
        <v>48</v>
      </c>
      <c r="AA48" s="24" t="s">
        <v>48</v>
      </c>
      <c r="AB48" s="36" t="s">
        <v>93</v>
      </c>
    </row>
    <row r="49" spans="1:28" s="13" customFormat="1" ht="34.5" customHeight="1">
      <c r="A49" s="100" t="s">
        <v>85</v>
      </c>
      <c r="B49" s="304"/>
      <c r="C49" s="70" t="s">
        <v>123</v>
      </c>
      <c r="D49" s="63" t="s">
        <v>32</v>
      </c>
      <c r="E49" s="85">
        <v>650</v>
      </c>
      <c r="F49" s="85">
        <v>650</v>
      </c>
      <c r="G49" s="123">
        <v>2021</v>
      </c>
      <c r="H49" s="66"/>
      <c r="I49" s="65">
        <f>6833.17+316.271</f>
        <v>7149.441</v>
      </c>
      <c r="J49" s="65">
        <f>8258.811+316.272</f>
        <v>8575.083</v>
      </c>
      <c r="K49" s="17">
        <f aca="true" t="shared" si="2" ref="K49:K59">J49-I49</f>
        <v>1425.6420000000007</v>
      </c>
      <c r="L49" s="30" t="s">
        <v>95</v>
      </c>
      <c r="M49" s="198"/>
      <c r="N49" s="198"/>
      <c r="O49" s="30">
        <f t="shared" si="1"/>
        <v>8575.083</v>
      </c>
      <c r="P49" s="30"/>
      <c r="Q49" s="30"/>
      <c r="R49" s="30"/>
      <c r="S49" s="24" t="s">
        <v>48</v>
      </c>
      <c r="T49" s="30">
        <v>100</v>
      </c>
      <c r="U49" s="48" t="s">
        <v>48</v>
      </c>
      <c r="V49" s="48" t="s">
        <v>48</v>
      </c>
      <c r="W49" s="48" t="s">
        <v>48</v>
      </c>
      <c r="X49" s="48" t="s">
        <v>48</v>
      </c>
      <c r="Y49" s="48" t="s">
        <v>48</v>
      </c>
      <c r="Z49" s="48" t="s">
        <v>48</v>
      </c>
      <c r="AA49" s="24" t="s">
        <v>48</v>
      </c>
      <c r="AB49" s="36" t="s">
        <v>93</v>
      </c>
    </row>
    <row r="50" spans="1:28" s="16" customFormat="1" ht="28.5" customHeight="1">
      <c r="A50" s="100" t="s">
        <v>86</v>
      </c>
      <c r="B50" s="304"/>
      <c r="C50" s="295" t="s">
        <v>124</v>
      </c>
      <c r="D50" s="297" t="s">
        <v>32</v>
      </c>
      <c r="E50" s="299">
        <f>150+25</f>
        <v>175</v>
      </c>
      <c r="F50" s="299">
        <f>40+150</f>
        <v>190</v>
      </c>
      <c r="G50" s="279">
        <v>2021</v>
      </c>
      <c r="H50" s="287"/>
      <c r="I50" s="301">
        <f>3460.655+307</f>
        <v>3767.655</v>
      </c>
      <c r="J50" s="301">
        <f>586.659+56.748+400.65+3479.819</f>
        <v>4523.876</v>
      </c>
      <c r="K50" s="285">
        <f>J50-I50</f>
        <v>756.221</v>
      </c>
      <c r="L50" s="289" t="s">
        <v>288</v>
      </c>
      <c r="M50" s="198"/>
      <c r="N50" s="198"/>
      <c r="O50" s="289">
        <f t="shared" si="1"/>
        <v>4523.876</v>
      </c>
      <c r="P50" s="49"/>
      <c r="Q50" s="49"/>
      <c r="R50" s="49"/>
      <c r="S50" s="24" t="s">
        <v>48</v>
      </c>
      <c r="T50" s="30">
        <v>100</v>
      </c>
      <c r="U50" s="48" t="s">
        <v>48</v>
      </c>
      <c r="V50" s="48" t="s">
        <v>48</v>
      </c>
      <c r="W50" s="48" t="s">
        <v>48</v>
      </c>
      <c r="X50" s="48" t="s">
        <v>48</v>
      </c>
      <c r="Y50" s="48" t="s">
        <v>48</v>
      </c>
      <c r="Z50" s="48" t="s">
        <v>48</v>
      </c>
      <c r="AA50" s="24" t="s">
        <v>48</v>
      </c>
      <c r="AB50" s="36" t="s">
        <v>93</v>
      </c>
    </row>
    <row r="51" spans="1:28" s="16" customFormat="1" ht="31.5" customHeight="1">
      <c r="A51" s="100" t="s">
        <v>87</v>
      </c>
      <c r="B51" s="304"/>
      <c r="C51" s="296"/>
      <c r="D51" s="298"/>
      <c r="E51" s="300"/>
      <c r="F51" s="300"/>
      <c r="G51" s="280"/>
      <c r="H51" s="288"/>
      <c r="I51" s="302"/>
      <c r="J51" s="302"/>
      <c r="K51" s="286"/>
      <c r="L51" s="290"/>
      <c r="M51" s="198"/>
      <c r="N51" s="198"/>
      <c r="O51" s="290"/>
      <c r="P51" s="49"/>
      <c r="Q51" s="49"/>
      <c r="R51" s="49"/>
      <c r="S51" s="24"/>
      <c r="T51" s="30">
        <v>100</v>
      </c>
      <c r="U51" s="48" t="s">
        <v>48</v>
      </c>
      <c r="V51" s="48" t="s">
        <v>48</v>
      </c>
      <c r="W51" s="48" t="s">
        <v>48</v>
      </c>
      <c r="X51" s="48" t="s">
        <v>48</v>
      </c>
      <c r="Y51" s="48" t="s">
        <v>48</v>
      </c>
      <c r="Z51" s="48" t="s">
        <v>48</v>
      </c>
      <c r="AA51" s="24" t="s">
        <v>48</v>
      </c>
      <c r="AB51" s="36" t="s">
        <v>93</v>
      </c>
    </row>
    <row r="52" spans="1:28" s="16" customFormat="1" ht="36" customHeight="1">
      <c r="A52" s="100" t="s">
        <v>88</v>
      </c>
      <c r="B52" s="304"/>
      <c r="C52" s="70" t="s">
        <v>125</v>
      </c>
      <c r="D52" s="63" t="s">
        <v>32</v>
      </c>
      <c r="E52" s="85">
        <v>48</v>
      </c>
      <c r="F52" s="85">
        <v>48</v>
      </c>
      <c r="G52" s="123">
        <v>2021</v>
      </c>
      <c r="H52" s="67"/>
      <c r="I52" s="65">
        <f>1637.106+259.2</f>
        <v>1896.306</v>
      </c>
      <c r="J52" s="65">
        <f>1637.106+128.208</f>
        <v>1765.314</v>
      </c>
      <c r="K52" s="17">
        <f t="shared" si="2"/>
        <v>-130.99199999999996</v>
      </c>
      <c r="L52" s="30" t="s">
        <v>287</v>
      </c>
      <c r="M52" s="198"/>
      <c r="N52" s="198"/>
      <c r="O52" s="30">
        <f t="shared" si="1"/>
        <v>1765.314</v>
      </c>
      <c r="P52" s="49"/>
      <c r="Q52" s="49"/>
      <c r="R52" s="49"/>
      <c r="S52" s="24" t="s">
        <v>48</v>
      </c>
      <c r="T52" s="30">
        <v>100</v>
      </c>
      <c r="U52" s="48" t="s">
        <v>48</v>
      </c>
      <c r="V52" s="48" t="s">
        <v>48</v>
      </c>
      <c r="W52" s="48" t="s">
        <v>48</v>
      </c>
      <c r="X52" s="48" t="s">
        <v>48</v>
      </c>
      <c r="Y52" s="48" t="s">
        <v>48</v>
      </c>
      <c r="Z52" s="48" t="s">
        <v>48</v>
      </c>
      <c r="AA52" s="24" t="s">
        <v>48</v>
      </c>
      <c r="AB52" s="36" t="s">
        <v>93</v>
      </c>
    </row>
    <row r="53" spans="1:28" s="16" customFormat="1" ht="19.5" customHeight="1">
      <c r="A53" s="100" t="s">
        <v>89</v>
      </c>
      <c r="B53" s="304"/>
      <c r="C53" s="70" t="s">
        <v>126</v>
      </c>
      <c r="D53" s="63" t="s">
        <v>32</v>
      </c>
      <c r="E53" s="85">
        <v>642</v>
      </c>
      <c r="F53" s="85">
        <v>642</v>
      </c>
      <c r="G53" s="123">
        <v>2021</v>
      </c>
      <c r="H53" s="67"/>
      <c r="I53" s="65">
        <f>15439.296+3466.8</f>
        <v>18906.096</v>
      </c>
      <c r="J53" s="65">
        <f>15439.296+3466.8</f>
        <v>18906.096</v>
      </c>
      <c r="K53" s="17">
        <f t="shared" si="2"/>
        <v>0</v>
      </c>
      <c r="L53" s="20"/>
      <c r="M53" s="198"/>
      <c r="N53" s="198"/>
      <c r="O53" s="30">
        <v>9025</v>
      </c>
      <c r="P53" s="49">
        <v>9881</v>
      </c>
      <c r="Q53" s="49"/>
      <c r="R53" s="49"/>
      <c r="S53" s="24" t="s">
        <v>48</v>
      </c>
      <c r="T53" s="30">
        <v>100</v>
      </c>
      <c r="U53" s="48" t="s">
        <v>48</v>
      </c>
      <c r="V53" s="48" t="s">
        <v>48</v>
      </c>
      <c r="W53" s="48" t="s">
        <v>48</v>
      </c>
      <c r="X53" s="48" t="s">
        <v>48</v>
      </c>
      <c r="Y53" s="48" t="s">
        <v>48</v>
      </c>
      <c r="Z53" s="48" t="s">
        <v>48</v>
      </c>
      <c r="AA53" s="24" t="s">
        <v>48</v>
      </c>
      <c r="AB53" s="36" t="s">
        <v>93</v>
      </c>
    </row>
    <row r="54" spans="1:28" s="16" customFormat="1" ht="30.75" customHeight="1">
      <c r="A54" s="100" t="s">
        <v>90</v>
      </c>
      <c r="B54" s="304"/>
      <c r="C54" s="70" t="s">
        <v>194</v>
      </c>
      <c r="D54" s="63" t="s">
        <v>32</v>
      </c>
      <c r="E54" s="85">
        <v>0</v>
      </c>
      <c r="F54" s="85">
        <v>80</v>
      </c>
      <c r="G54" s="123">
        <v>2021</v>
      </c>
      <c r="H54" s="67"/>
      <c r="I54" s="65">
        <v>0</v>
      </c>
      <c r="J54" s="65">
        <f>1089.657+38.926</f>
        <v>1128.5829999999999</v>
      </c>
      <c r="K54" s="17">
        <f t="shared" si="2"/>
        <v>1128.5829999999999</v>
      </c>
      <c r="L54" s="30" t="s">
        <v>95</v>
      </c>
      <c r="M54" s="198"/>
      <c r="N54" s="198"/>
      <c r="O54" s="30"/>
      <c r="P54" s="30">
        <f aca="true" t="shared" si="3" ref="P54:P59">K54</f>
        <v>1128.5829999999999</v>
      </c>
      <c r="Q54" s="49"/>
      <c r="R54" s="49"/>
      <c r="S54" s="24"/>
      <c r="T54" s="30">
        <v>100</v>
      </c>
      <c r="U54" s="48" t="s">
        <v>48</v>
      </c>
      <c r="V54" s="48" t="s">
        <v>48</v>
      </c>
      <c r="W54" s="48" t="s">
        <v>48</v>
      </c>
      <c r="X54" s="48" t="s">
        <v>48</v>
      </c>
      <c r="Y54" s="48" t="s">
        <v>48</v>
      </c>
      <c r="Z54" s="48" t="s">
        <v>48</v>
      </c>
      <c r="AA54" s="24" t="s">
        <v>48</v>
      </c>
      <c r="AB54" s="36" t="s">
        <v>93</v>
      </c>
    </row>
    <row r="55" spans="1:28" s="16" customFormat="1" ht="38.25" customHeight="1">
      <c r="A55" s="100" t="s">
        <v>195</v>
      </c>
      <c r="B55" s="304"/>
      <c r="C55" s="70" t="s">
        <v>197</v>
      </c>
      <c r="D55" s="63" t="s">
        <v>32</v>
      </c>
      <c r="E55" s="85">
        <v>0</v>
      </c>
      <c r="F55" s="85">
        <v>36</v>
      </c>
      <c r="G55" s="123">
        <v>2021</v>
      </c>
      <c r="H55" s="67"/>
      <c r="I55" s="65">
        <v>0</v>
      </c>
      <c r="J55" s="65">
        <f>566.934+51.074</f>
        <v>618.0079999999999</v>
      </c>
      <c r="K55" s="17">
        <f t="shared" si="2"/>
        <v>618.0079999999999</v>
      </c>
      <c r="L55" s="30" t="s">
        <v>95</v>
      </c>
      <c r="M55" s="198"/>
      <c r="N55" s="198"/>
      <c r="O55" s="30"/>
      <c r="P55" s="30">
        <f t="shared" si="3"/>
        <v>618.0079999999999</v>
      </c>
      <c r="Q55" s="49"/>
      <c r="R55" s="49"/>
      <c r="S55" s="24"/>
      <c r="T55" s="30">
        <v>100</v>
      </c>
      <c r="U55" s="48" t="s">
        <v>48</v>
      </c>
      <c r="V55" s="48" t="s">
        <v>48</v>
      </c>
      <c r="W55" s="48" t="s">
        <v>48</v>
      </c>
      <c r="X55" s="48" t="s">
        <v>48</v>
      </c>
      <c r="Y55" s="48" t="s">
        <v>48</v>
      </c>
      <c r="Z55" s="48" t="s">
        <v>48</v>
      </c>
      <c r="AA55" s="24" t="s">
        <v>48</v>
      </c>
      <c r="AB55" s="36" t="s">
        <v>93</v>
      </c>
    </row>
    <row r="56" spans="1:28" s="16" customFormat="1" ht="30.75" customHeight="1">
      <c r="A56" s="100" t="s">
        <v>196</v>
      </c>
      <c r="B56" s="304"/>
      <c r="C56" s="27" t="s">
        <v>127</v>
      </c>
      <c r="D56" s="63" t="s">
        <v>32</v>
      </c>
      <c r="E56" s="69">
        <v>0</v>
      </c>
      <c r="F56" s="69">
        <v>177</v>
      </c>
      <c r="G56" s="123">
        <v>2021</v>
      </c>
      <c r="H56" s="67"/>
      <c r="I56" s="68">
        <v>0</v>
      </c>
      <c r="J56" s="68">
        <f>2222.531+86.123</f>
        <v>2308.654</v>
      </c>
      <c r="K56" s="17">
        <f t="shared" si="2"/>
        <v>2308.654</v>
      </c>
      <c r="L56" s="30" t="s">
        <v>95</v>
      </c>
      <c r="M56" s="198"/>
      <c r="N56" s="198"/>
      <c r="O56" s="30"/>
      <c r="P56" s="30">
        <f t="shared" si="3"/>
        <v>2308.654</v>
      </c>
      <c r="Q56" s="49"/>
      <c r="R56" s="49"/>
      <c r="S56" s="24" t="s">
        <v>48</v>
      </c>
      <c r="T56" s="30">
        <v>100</v>
      </c>
      <c r="U56" s="48" t="s">
        <v>48</v>
      </c>
      <c r="V56" s="48" t="s">
        <v>48</v>
      </c>
      <c r="W56" s="48" t="s">
        <v>48</v>
      </c>
      <c r="X56" s="48" t="s">
        <v>48</v>
      </c>
      <c r="Y56" s="48" t="s">
        <v>48</v>
      </c>
      <c r="Z56" s="48" t="s">
        <v>48</v>
      </c>
      <c r="AA56" s="24" t="s">
        <v>48</v>
      </c>
      <c r="AB56" s="36" t="s">
        <v>93</v>
      </c>
    </row>
    <row r="57" spans="1:28" s="16" customFormat="1" ht="34.5" customHeight="1">
      <c r="A57" s="100" t="s">
        <v>199</v>
      </c>
      <c r="B57" s="304"/>
      <c r="C57" s="27" t="s">
        <v>128</v>
      </c>
      <c r="D57" s="63" t="s">
        <v>32</v>
      </c>
      <c r="E57" s="69">
        <v>0</v>
      </c>
      <c r="F57" s="69">
        <v>51</v>
      </c>
      <c r="G57" s="123">
        <v>2021</v>
      </c>
      <c r="H57" s="67"/>
      <c r="I57" s="68">
        <v>0</v>
      </c>
      <c r="J57" s="68">
        <f>24.815+665.56</f>
        <v>690.375</v>
      </c>
      <c r="K57" s="17">
        <f t="shared" si="2"/>
        <v>690.375</v>
      </c>
      <c r="L57" s="30" t="s">
        <v>95</v>
      </c>
      <c r="M57" s="198"/>
      <c r="N57" s="198"/>
      <c r="O57" s="30"/>
      <c r="P57" s="30">
        <f t="shared" si="3"/>
        <v>690.375</v>
      </c>
      <c r="Q57" s="49"/>
      <c r="R57" s="49"/>
      <c r="S57" s="24" t="s">
        <v>48</v>
      </c>
      <c r="T57" s="30">
        <v>100</v>
      </c>
      <c r="U57" s="48" t="s">
        <v>48</v>
      </c>
      <c r="V57" s="48" t="s">
        <v>48</v>
      </c>
      <c r="W57" s="48" t="s">
        <v>48</v>
      </c>
      <c r="X57" s="48" t="s">
        <v>48</v>
      </c>
      <c r="Y57" s="48" t="s">
        <v>48</v>
      </c>
      <c r="Z57" s="48" t="s">
        <v>48</v>
      </c>
      <c r="AA57" s="24" t="s">
        <v>48</v>
      </c>
      <c r="AB57" s="36" t="s">
        <v>93</v>
      </c>
    </row>
    <row r="58" spans="1:28" s="16" customFormat="1" ht="31.5" customHeight="1">
      <c r="A58" s="100" t="s">
        <v>200</v>
      </c>
      <c r="B58" s="304"/>
      <c r="C58" s="27" t="s">
        <v>198</v>
      </c>
      <c r="D58" s="63" t="s">
        <v>32</v>
      </c>
      <c r="E58" s="69">
        <v>0</v>
      </c>
      <c r="F58" s="69">
        <v>70</v>
      </c>
      <c r="G58" s="123">
        <v>2021</v>
      </c>
      <c r="H58" s="67"/>
      <c r="I58" s="68">
        <v>0</v>
      </c>
      <c r="J58" s="68">
        <f>793.775+99.31</f>
        <v>893.085</v>
      </c>
      <c r="K58" s="17">
        <f t="shared" si="2"/>
        <v>893.085</v>
      </c>
      <c r="L58" s="30" t="str">
        <f>L57</f>
        <v>В связи с производственной необходимостью</v>
      </c>
      <c r="M58" s="198"/>
      <c r="N58" s="198"/>
      <c r="O58" s="30"/>
      <c r="P58" s="30">
        <f t="shared" si="3"/>
        <v>893.085</v>
      </c>
      <c r="Q58" s="49"/>
      <c r="R58" s="49"/>
      <c r="S58" s="24"/>
      <c r="T58" s="30">
        <v>100</v>
      </c>
      <c r="U58" s="48" t="s">
        <v>48</v>
      </c>
      <c r="V58" s="48" t="s">
        <v>48</v>
      </c>
      <c r="W58" s="48" t="s">
        <v>48</v>
      </c>
      <c r="X58" s="48" t="s">
        <v>48</v>
      </c>
      <c r="Y58" s="48" t="s">
        <v>48</v>
      </c>
      <c r="Z58" s="48" t="s">
        <v>48</v>
      </c>
      <c r="AA58" s="24" t="s">
        <v>48</v>
      </c>
      <c r="AB58" s="36" t="s">
        <v>93</v>
      </c>
    </row>
    <row r="59" spans="1:28" s="16" customFormat="1" ht="19.5" customHeight="1">
      <c r="A59" s="100" t="s">
        <v>202</v>
      </c>
      <c r="B59" s="304"/>
      <c r="C59" s="27" t="s">
        <v>201</v>
      </c>
      <c r="D59" s="63" t="s">
        <v>32</v>
      </c>
      <c r="E59" s="69">
        <v>0</v>
      </c>
      <c r="F59" s="69">
        <v>110</v>
      </c>
      <c r="G59" s="123">
        <v>2021</v>
      </c>
      <c r="H59" s="67"/>
      <c r="I59" s="68">
        <v>0</v>
      </c>
      <c r="J59" s="68">
        <f>2630.241+293.117</f>
        <v>2923.358</v>
      </c>
      <c r="K59" s="17">
        <f t="shared" si="2"/>
        <v>2923.358</v>
      </c>
      <c r="L59" s="30"/>
      <c r="M59" s="198"/>
      <c r="N59" s="198"/>
      <c r="O59" s="30"/>
      <c r="P59" s="30">
        <f t="shared" si="3"/>
        <v>2923.358</v>
      </c>
      <c r="Q59" s="49"/>
      <c r="R59" s="49"/>
      <c r="S59" s="24"/>
      <c r="T59" s="30">
        <v>100</v>
      </c>
      <c r="U59" s="48" t="s">
        <v>48</v>
      </c>
      <c r="V59" s="48" t="s">
        <v>48</v>
      </c>
      <c r="W59" s="48" t="s">
        <v>48</v>
      </c>
      <c r="X59" s="48" t="s">
        <v>48</v>
      </c>
      <c r="Y59" s="48" t="s">
        <v>48</v>
      </c>
      <c r="Z59" s="48" t="s">
        <v>48</v>
      </c>
      <c r="AA59" s="24" t="s">
        <v>48</v>
      </c>
      <c r="AB59" s="36" t="s">
        <v>93</v>
      </c>
    </row>
    <row r="60" spans="1:28" s="153" customFormat="1" ht="15.75">
      <c r="A60" s="143"/>
      <c r="B60" s="304"/>
      <c r="C60" s="193" t="s">
        <v>38</v>
      </c>
      <c r="D60" s="146"/>
      <c r="E60" s="191">
        <f>SUM(E10:E59)</f>
        <v>8617</v>
      </c>
      <c r="F60" s="191">
        <f>SUM(F10:F59)</f>
        <v>9172</v>
      </c>
      <c r="G60" s="148"/>
      <c r="H60" s="149"/>
      <c r="I60" s="191">
        <f>SUM(I10:I59)</f>
        <v>205677.17799999999</v>
      </c>
      <c r="J60" s="191">
        <f>SUM(J10:J59)</f>
        <v>218448.03700000004</v>
      </c>
      <c r="K60" s="191">
        <f>J60-I60</f>
        <v>12770.859000000055</v>
      </c>
      <c r="L60" s="150"/>
      <c r="M60" s="130">
        <f>J60</f>
        <v>218448.03700000004</v>
      </c>
      <c r="N60" s="130"/>
      <c r="O60" s="191">
        <f>SUM(O10:O59)</f>
        <v>200004.87800000003</v>
      </c>
      <c r="P60" s="191">
        <f>SUM(P10:P59)</f>
        <v>18443.063000000002</v>
      </c>
      <c r="Q60" s="191"/>
      <c r="R60" s="191"/>
      <c r="S60" s="151"/>
      <c r="T60" s="75">
        <v>100</v>
      </c>
      <c r="U60" s="76">
        <v>58.9</v>
      </c>
      <c r="V60" s="76">
        <v>58</v>
      </c>
      <c r="W60" s="76" t="s">
        <v>290</v>
      </c>
      <c r="X60" s="76" t="s">
        <v>290</v>
      </c>
      <c r="Y60" s="76">
        <v>0.3</v>
      </c>
      <c r="Z60" s="76">
        <v>0.3</v>
      </c>
      <c r="AA60" s="151"/>
      <c r="AB60" s="151"/>
    </row>
    <row r="61" spans="1:28" s="80" customFormat="1" ht="15">
      <c r="A61" s="73" t="s">
        <v>41</v>
      </c>
      <c r="B61" s="304"/>
      <c r="C61" s="72" t="s">
        <v>34</v>
      </c>
      <c r="D61" s="61"/>
      <c r="E61" s="74">
        <f>E96</f>
        <v>3517.4</v>
      </c>
      <c r="F61" s="74">
        <f>F96</f>
        <v>3610.4</v>
      </c>
      <c r="G61" s="124"/>
      <c r="I61" s="74">
        <f>I96</f>
        <v>175661.93</v>
      </c>
      <c r="J61" s="74">
        <f>J96</f>
        <v>181449.15000000002</v>
      </c>
      <c r="K61" s="74">
        <f aca="true" t="shared" si="4" ref="K61:K77">J61-I61</f>
        <v>5787.22000000003</v>
      </c>
      <c r="L61" s="81"/>
      <c r="M61" s="200"/>
      <c r="N61" s="200"/>
      <c r="O61" s="74">
        <f>J61</f>
        <v>181449.15000000002</v>
      </c>
      <c r="P61" s="74"/>
      <c r="Q61" s="74"/>
      <c r="R61" s="74"/>
      <c r="S61" s="76" t="s">
        <v>48</v>
      </c>
      <c r="T61" s="223">
        <v>100</v>
      </c>
      <c r="U61" s="77">
        <v>0.615</v>
      </c>
      <c r="V61" s="77">
        <v>0.623</v>
      </c>
      <c r="W61" s="78" t="s">
        <v>48</v>
      </c>
      <c r="X61" s="78" t="s">
        <v>48</v>
      </c>
      <c r="Y61" s="82">
        <v>0.07</v>
      </c>
      <c r="Z61" s="83">
        <v>0.03</v>
      </c>
      <c r="AA61" s="84" t="s">
        <v>48</v>
      </c>
      <c r="AB61" s="78"/>
    </row>
    <row r="62" spans="1:28" s="13" customFormat="1" ht="13.5">
      <c r="A62" s="100" t="s">
        <v>52</v>
      </c>
      <c r="B62" s="304"/>
      <c r="C62" s="70" t="s">
        <v>129</v>
      </c>
      <c r="D62" s="30" t="s">
        <v>32</v>
      </c>
      <c r="E62" s="39">
        <v>130</v>
      </c>
      <c r="F62" s="39">
        <v>130</v>
      </c>
      <c r="G62" s="133">
        <v>2021</v>
      </c>
      <c r="H62" s="32"/>
      <c r="I62" s="62">
        <v>7561.413</v>
      </c>
      <c r="J62" s="39">
        <f>I62</f>
        <v>7561.413</v>
      </c>
      <c r="K62" s="30">
        <f t="shared" si="4"/>
        <v>0</v>
      </c>
      <c r="L62" s="30"/>
      <c r="M62" s="198"/>
      <c r="N62" s="198"/>
      <c r="O62" s="30">
        <f aca="true" t="shared" si="5" ref="O62:O77">J62</f>
        <v>7561.413</v>
      </c>
      <c r="P62" s="30"/>
      <c r="Q62" s="30"/>
      <c r="R62" s="30"/>
      <c r="S62" s="36" t="s">
        <v>48</v>
      </c>
      <c r="T62" s="30">
        <v>100</v>
      </c>
      <c r="U62" s="25" t="s">
        <v>48</v>
      </c>
      <c r="V62" s="25" t="s">
        <v>48</v>
      </c>
      <c r="W62" s="25" t="s">
        <v>48</v>
      </c>
      <c r="X62" s="25" t="s">
        <v>48</v>
      </c>
      <c r="Y62" s="25" t="s">
        <v>48</v>
      </c>
      <c r="Z62" s="25" t="s">
        <v>48</v>
      </c>
      <c r="AA62" s="36" t="s">
        <v>48</v>
      </c>
      <c r="AB62" s="34" t="s">
        <v>94</v>
      </c>
    </row>
    <row r="63" spans="1:28" s="13" customFormat="1" ht="13.5">
      <c r="A63" s="100" t="s">
        <v>41</v>
      </c>
      <c r="B63" s="304"/>
      <c r="C63" s="27" t="s">
        <v>130</v>
      </c>
      <c r="D63" s="30" t="s">
        <v>32</v>
      </c>
      <c r="E63" s="39">
        <v>87</v>
      </c>
      <c r="F63" s="39">
        <v>87</v>
      </c>
      <c r="G63" s="133">
        <v>2021</v>
      </c>
      <c r="H63" s="32"/>
      <c r="I63" s="62">
        <f>3454.637+693.696</f>
        <v>4148.3330000000005</v>
      </c>
      <c r="J63" s="39">
        <f aca="true" t="shared" si="6" ref="J63:J90">I63</f>
        <v>4148.3330000000005</v>
      </c>
      <c r="K63" s="30">
        <f t="shared" si="4"/>
        <v>0</v>
      </c>
      <c r="L63" s="30"/>
      <c r="M63" s="198"/>
      <c r="N63" s="198"/>
      <c r="O63" s="30">
        <f t="shared" si="5"/>
        <v>4148.3330000000005</v>
      </c>
      <c r="P63" s="30"/>
      <c r="Q63" s="30"/>
      <c r="R63" s="30"/>
      <c r="S63" s="36" t="s">
        <v>48</v>
      </c>
      <c r="T63" s="30">
        <v>100</v>
      </c>
      <c r="U63" s="25" t="s">
        <v>48</v>
      </c>
      <c r="V63" s="25" t="s">
        <v>48</v>
      </c>
      <c r="W63" s="25" t="s">
        <v>48</v>
      </c>
      <c r="X63" s="25" t="s">
        <v>48</v>
      </c>
      <c r="Y63" s="25" t="s">
        <v>48</v>
      </c>
      <c r="Z63" s="25" t="s">
        <v>48</v>
      </c>
      <c r="AA63" s="36" t="s">
        <v>48</v>
      </c>
      <c r="AB63" s="34" t="s">
        <v>94</v>
      </c>
    </row>
    <row r="64" spans="1:28" s="13" customFormat="1" ht="17.25" customHeight="1">
      <c r="A64" s="100" t="s">
        <v>42</v>
      </c>
      <c r="B64" s="304"/>
      <c r="C64" s="70" t="s">
        <v>131</v>
      </c>
      <c r="D64" s="30" t="s">
        <v>32</v>
      </c>
      <c r="E64" s="39">
        <v>95</v>
      </c>
      <c r="F64" s="39">
        <v>95</v>
      </c>
      <c r="G64" s="133">
        <v>2021</v>
      </c>
      <c r="H64" s="32"/>
      <c r="I64" s="62">
        <f>1170.981+104.5</f>
        <v>1275.481</v>
      </c>
      <c r="J64" s="39">
        <f t="shared" si="6"/>
        <v>1275.481</v>
      </c>
      <c r="K64" s="30">
        <f t="shared" si="4"/>
        <v>0</v>
      </c>
      <c r="L64" s="30"/>
      <c r="M64" s="198"/>
      <c r="N64" s="198"/>
      <c r="O64" s="30">
        <f t="shared" si="5"/>
        <v>1275.481</v>
      </c>
      <c r="P64" s="30"/>
      <c r="Q64" s="30"/>
      <c r="R64" s="30"/>
      <c r="S64" s="36" t="s">
        <v>48</v>
      </c>
      <c r="T64" s="30">
        <v>100</v>
      </c>
      <c r="U64" s="25" t="s">
        <v>48</v>
      </c>
      <c r="V64" s="25" t="s">
        <v>48</v>
      </c>
      <c r="W64" s="25" t="s">
        <v>48</v>
      </c>
      <c r="X64" s="25" t="s">
        <v>48</v>
      </c>
      <c r="Y64" s="25" t="s">
        <v>48</v>
      </c>
      <c r="Z64" s="25" t="s">
        <v>48</v>
      </c>
      <c r="AA64" s="36" t="s">
        <v>48</v>
      </c>
      <c r="AB64" s="34" t="s">
        <v>94</v>
      </c>
    </row>
    <row r="65" spans="1:28" s="13" customFormat="1" ht="17.25" customHeight="1">
      <c r="A65" s="100" t="s">
        <v>43</v>
      </c>
      <c r="B65" s="304"/>
      <c r="C65" s="70" t="s">
        <v>132</v>
      </c>
      <c r="D65" s="30" t="s">
        <v>32</v>
      </c>
      <c r="E65" s="39">
        <v>46</v>
      </c>
      <c r="F65" s="39">
        <v>46</v>
      </c>
      <c r="G65" s="133">
        <v>2021</v>
      </c>
      <c r="H65" s="32"/>
      <c r="I65" s="62">
        <f>1929.145+340.563</f>
        <v>2269.708</v>
      </c>
      <c r="J65" s="39">
        <f t="shared" si="6"/>
        <v>2269.708</v>
      </c>
      <c r="K65" s="30">
        <f t="shared" si="4"/>
        <v>0</v>
      </c>
      <c r="L65" s="30"/>
      <c r="M65" s="198"/>
      <c r="N65" s="198"/>
      <c r="O65" s="30">
        <f t="shared" si="5"/>
        <v>2269.708</v>
      </c>
      <c r="P65" s="30"/>
      <c r="Q65" s="30"/>
      <c r="R65" s="30"/>
      <c r="S65" s="36" t="s">
        <v>48</v>
      </c>
      <c r="T65" s="30">
        <v>100</v>
      </c>
      <c r="U65" s="25" t="s">
        <v>48</v>
      </c>
      <c r="V65" s="25" t="s">
        <v>48</v>
      </c>
      <c r="W65" s="25" t="s">
        <v>48</v>
      </c>
      <c r="X65" s="25" t="s">
        <v>48</v>
      </c>
      <c r="Y65" s="25" t="s">
        <v>48</v>
      </c>
      <c r="Z65" s="25" t="s">
        <v>48</v>
      </c>
      <c r="AA65" s="36" t="s">
        <v>48</v>
      </c>
      <c r="AB65" s="34" t="s">
        <v>94</v>
      </c>
    </row>
    <row r="66" spans="1:28" s="13" customFormat="1" ht="17.25" customHeight="1">
      <c r="A66" s="100" t="s">
        <v>44</v>
      </c>
      <c r="B66" s="304"/>
      <c r="C66" s="70" t="s">
        <v>133</v>
      </c>
      <c r="D66" s="30" t="s">
        <v>32</v>
      </c>
      <c r="E66" s="39">
        <v>250</v>
      </c>
      <c r="F66" s="39">
        <v>250</v>
      </c>
      <c r="G66" s="133">
        <v>2021</v>
      </c>
      <c r="H66" s="32"/>
      <c r="I66" s="62">
        <f>13458.673</f>
        <v>13458.673</v>
      </c>
      <c r="J66" s="39">
        <f t="shared" si="6"/>
        <v>13458.673</v>
      </c>
      <c r="K66" s="30">
        <f t="shared" si="4"/>
        <v>0</v>
      </c>
      <c r="L66" s="30"/>
      <c r="M66" s="198"/>
      <c r="N66" s="198"/>
      <c r="O66" s="30">
        <f t="shared" si="5"/>
        <v>13458.673</v>
      </c>
      <c r="P66" s="30"/>
      <c r="Q66" s="30"/>
      <c r="R66" s="30"/>
      <c r="S66" s="36" t="s">
        <v>48</v>
      </c>
      <c r="T66" s="30">
        <v>100</v>
      </c>
      <c r="U66" s="25" t="s">
        <v>48</v>
      </c>
      <c r="V66" s="25" t="s">
        <v>48</v>
      </c>
      <c r="W66" s="25" t="s">
        <v>48</v>
      </c>
      <c r="X66" s="25" t="s">
        <v>48</v>
      </c>
      <c r="Y66" s="25" t="s">
        <v>48</v>
      </c>
      <c r="Z66" s="25" t="s">
        <v>48</v>
      </c>
      <c r="AA66" s="36" t="s">
        <v>48</v>
      </c>
      <c r="AB66" s="34" t="s">
        <v>94</v>
      </c>
    </row>
    <row r="67" spans="1:28" s="13" customFormat="1" ht="17.25" customHeight="1">
      <c r="A67" s="100" t="s">
        <v>53</v>
      </c>
      <c r="B67" s="304"/>
      <c r="C67" s="70" t="s">
        <v>134</v>
      </c>
      <c r="D67" s="30" t="s">
        <v>32</v>
      </c>
      <c r="E67" s="39">
        <v>46</v>
      </c>
      <c r="F67" s="39">
        <v>46</v>
      </c>
      <c r="G67" s="133">
        <v>2021</v>
      </c>
      <c r="H67" s="32"/>
      <c r="I67" s="62">
        <f>1330.408+248.4</f>
        <v>1578.808</v>
      </c>
      <c r="J67" s="39">
        <f t="shared" si="6"/>
        <v>1578.808</v>
      </c>
      <c r="K67" s="30">
        <f t="shared" si="4"/>
        <v>0</v>
      </c>
      <c r="L67" s="30"/>
      <c r="M67" s="198"/>
      <c r="N67" s="198"/>
      <c r="O67" s="30">
        <f t="shared" si="5"/>
        <v>1578.808</v>
      </c>
      <c r="P67" s="30"/>
      <c r="Q67" s="30"/>
      <c r="R67" s="30"/>
      <c r="S67" s="36" t="s">
        <v>48</v>
      </c>
      <c r="T67" s="30">
        <v>100</v>
      </c>
      <c r="U67" s="25" t="s">
        <v>48</v>
      </c>
      <c r="V67" s="25" t="s">
        <v>48</v>
      </c>
      <c r="W67" s="25" t="s">
        <v>48</v>
      </c>
      <c r="X67" s="25" t="s">
        <v>48</v>
      </c>
      <c r="Y67" s="25" t="s">
        <v>48</v>
      </c>
      <c r="Z67" s="25" t="s">
        <v>48</v>
      </c>
      <c r="AA67" s="36" t="s">
        <v>48</v>
      </c>
      <c r="AB67" s="34" t="s">
        <v>94</v>
      </c>
    </row>
    <row r="68" spans="1:28" s="13" customFormat="1" ht="18.75" customHeight="1">
      <c r="A68" s="100" t="s">
        <v>45</v>
      </c>
      <c r="B68" s="304"/>
      <c r="C68" s="70" t="s">
        <v>129</v>
      </c>
      <c r="D68" s="30" t="s">
        <v>32</v>
      </c>
      <c r="E68" s="39">
        <v>122</v>
      </c>
      <c r="F68" s="39">
        <v>122</v>
      </c>
      <c r="G68" s="133">
        <v>2021</v>
      </c>
      <c r="H68" s="32"/>
      <c r="I68" s="62">
        <f>7240.396</f>
        <v>7240.396</v>
      </c>
      <c r="J68" s="39">
        <f t="shared" si="6"/>
        <v>7240.396</v>
      </c>
      <c r="K68" s="30">
        <f t="shared" si="4"/>
        <v>0</v>
      </c>
      <c r="L68" s="30"/>
      <c r="M68" s="198"/>
      <c r="N68" s="198"/>
      <c r="O68" s="30">
        <f t="shared" si="5"/>
        <v>7240.396</v>
      </c>
      <c r="P68" s="30"/>
      <c r="Q68" s="30"/>
      <c r="R68" s="30"/>
      <c r="S68" s="36" t="s">
        <v>48</v>
      </c>
      <c r="T68" s="30">
        <v>100</v>
      </c>
      <c r="U68" s="25" t="s">
        <v>48</v>
      </c>
      <c r="V68" s="25" t="s">
        <v>48</v>
      </c>
      <c r="W68" s="25" t="s">
        <v>48</v>
      </c>
      <c r="X68" s="25" t="s">
        <v>48</v>
      </c>
      <c r="Y68" s="25" t="s">
        <v>48</v>
      </c>
      <c r="Z68" s="25" t="s">
        <v>48</v>
      </c>
      <c r="AA68" s="36" t="s">
        <v>48</v>
      </c>
      <c r="AB68" s="34" t="s">
        <v>94</v>
      </c>
    </row>
    <row r="69" spans="1:28" s="13" customFormat="1" ht="17.25" customHeight="1">
      <c r="A69" s="100" t="s">
        <v>46</v>
      </c>
      <c r="B69" s="304"/>
      <c r="C69" s="70" t="s">
        <v>135</v>
      </c>
      <c r="D69" s="30" t="s">
        <v>32</v>
      </c>
      <c r="E69" s="39">
        <v>303</v>
      </c>
      <c r="F69" s="39">
        <v>303</v>
      </c>
      <c r="G69" s="133">
        <v>2021</v>
      </c>
      <c r="H69" s="32"/>
      <c r="I69" s="62">
        <f>15160.333</f>
        <v>15160.333</v>
      </c>
      <c r="J69" s="39">
        <f t="shared" si="6"/>
        <v>15160.333</v>
      </c>
      <c r="K69" s="30">
        <f t="shared" si="4"/>
        <v>0</v>
      </c>
      <c r="L69" s="30"/>
      <c r="M69" s="198"/>
      <c r="N69" s="198"/>
      <c r="O69" s="30">
        <f t="shared" si="5"/>
        <v>15160.333</v>
      </c>
      <c r="P69" s="30"/>
      <c r="Q69" s="30"/>
      <c r="R69" s="30"/>
      <c r="S69" s="36" t="s">
        <v>48</v>
      </c>
      <c r="T69" s="30">
        <v>100</v>
      </c>
      <c r="U69" s="25" t="s">
        <v>48</v>
      </c>
      <c r="V69" s="25" t="s">
        <v>48</v>
      </c>
      <c r="W69" s="25" t="s">
        <v>48</v>
      </c>
      <c r="X69" s="25" t="s">
        <v>48</v>
      </c>
      <c r="Y69" s="25" t="s">
        <v>48</v>
      </c>
      <c r="Z69" s="25" t="s">
        <v>48</v>
      </c>
      <c r="AA69" s="36" t="s">
        <v>48</v>
      </c>
      <c r="AB69" s="34" t="s">
        <v>94</v>
      </c>
    </row>
    <row r="70" spans="1:28" s="13" customFormat="1" ht="13.5">
      <c r="A70" s="100" t="s">
        <v>54</v>
      </c>
      <c r="B70" s="304"/>
      <c r="C70" s="70" t="s">
        <v>136</v>
      </c>
      <c r="D70" s="30" t="s">
        <v>32</v>
      </c>
      <c r="E70" s="39">
        <v>70</v>
      </c>
      <c r="F70" s="39">
        <v>70</v>
      </c>
      <c r="G70" s="133">
        <v>2021</v>
      </c>
      <c r="H70" s="32"/>
      <c r="I70" s="62">
        <f>3312.873+378</f>
        <v>3690.873</v>
      </c>
      <c r="J70" s="39">
        <f t="shared" si="6"/>
        <v>3690.873</v>
      </c>
      <c r="K70" s="30">
        <f t="shared" si="4"/>
        <v>0</v>
      </c>
      <c r="L70" s="30"/>
      <c r="M70" s="198"/>
      <c r="N70" s="198"/>
      <c r="O70" s="30">
        <f t="shared" si="5"/>
        <v>3690.873</v>
      </c>
      <c r="P70" s="30"/>
      <c r="Q70" s="30"/>
      <c r="R70" s="30"/>
      <c r="S70" s="36" t="s">
        <v>48</v>
      </c>
      <c r="T70" s="30">
        <v>100</v>
      </c>
      <c r="U70" s="25" t="s">
        <v>48</v>
      </c>
      <c r="V70" s="25" t="s">
        <v>48</v>
      </c>
      <c r="W70" s="25" t="s">
        <v>48</v>
      </c>
      <c r="X70" s="25" t="s">
        <v>48</v>
      </c>
      <c r="Y70" s="25" t="s">
        <v>48</v>
      </c>
      <c r="Z70" s="25" t="s">
        <v>48</v>
      </c>
      <c r="AA70" s="36" t="s">
        <v>48</v>
      </c>
      <c r="AB70" s="34" t="s">
        <v>94</v>
      </c>
    </row>
    <row r="71" spans="1:28" s="13" customFormat="1" ht="17.25" customHeight="1">
      <c r="A71" s="100" t="s">
        <v>55</v>
      </c>
      <c r="B71" s="304"/>
      <c r="C71" s="70" t="s">
        <v>137</v>
      </c>
      <c r="D71" s="30" t="s">
        <v>32</v>
      </c>
      <c r="E71" s="39">
        <v>26</v>
      </c>
      <c r="F71" s="39">
        <v>26</v>
      </c>
      <c r="G71" s="133">
        <v>2021</v>
      </c>
      <c r="H71" s="32"/>
      <c r="I71" s="62">
        <f>1365.655+140.4</f>
        <v>1506.055</v>
      </c>
      <c r="J71" s="39">
        <f t="shared" si="6"/>
        <v>1506.055</v>
      </c>
      <c r="K71" s="30">
        <f t="shared" si="4"/>
        <v>0</v>
      </c>
      <c r="L71" s="30"/>
      <c r="M71" s="198"/>
      <c r="N71" s="198"/>
      <c r="O71" s="30">
        <f t="shared" si="5"/>
        <v>1506.055</v>
      </c>
      <c r="P71" s="30"/>
      <c r="Q71" s="30"/>
      <c r="R71" s="30"/>
      <c r="S71" s="36" t="s">
        <v>48</v>
      </c>
      <c r="T71" s="30">
        <v>100</v>
      </c>
      <c r="U71" s="25" t="s">
        <v>48</v>
      </c>
      <c r="V71" s="25" t="s">
        <v>48</v>
      </c>
      <c r="W71" s="25" t="s">
        <v>48</v>
      </c>
      <c r="X71" s="25" t="s">
        <v>48</v>
      </c>
      <c r="Y71" s="25" t="s">
        <v>48</v>
      </c>
      <c r="Z71" s="25" t="s">
        <v>48</v>
      </c>
      <c r="AA71" s="36" t="s">
        <v>48</v>
      </c>
      <c r="AB71" s="34" t="s">
        <v>94</v>
      </c>
    </row>
    <row r="72" spans="1:28" s="13" customFormat="1" ht="17.25" customHeight="1">
      <c r="A72" s="100" t="s">
        <v>56</v>
      </c>
      <c r="B72" s="304"/>
      <c r="C72" s="70" t="s">
        <v>138</v>
      </c>
      <c r="D72" s="30" t="s">
        <v>32</v>
      </c>
      <c r="E72" s="39">
        <v>62</v>
      </c>
      <c r="F72" s="39">
        <v>62</v>
      </c>
      <c r="G72" s="133">
        <v>2021</v>
      </c>
      <c r="H72" s="32"/>
      <c r="I72" s="62">
        <f>1929.595+334.8</f>
        <v>2264.395</v>
      </c>
      <c r="J72" s="39">
        <f t="shared" si="6"/>
        <v>2264.395</v>
      </c>
      <c r="K72" s="30">
        <f t="shared" si="4"/>
        <v>0</v>
      </c>
      <c r="L72" s="30"/>
      <c r="M72" s="198"/>
      <c r="N72" s="198"/>
      <c r="O72" s="30">
        <f t="shared" si="5"/>
        <v>2264.395</v>
      </c>
      <c r="P72" s="30"/>
      <c r="Q72" s="30"/>
      <c r="R72" s="30"/>
      <c r="S72" s="36" t="s">
        <v>48</v>
      </c>
      <c r="T72" s="30">
        <v>100</v>
      </c>
      <c r="U72" s="25" t="s">
        <v>48</v>
      </c>
      <c r="V72" s="25" t="s">
        <v>48</v>
      </c>
      <c r="W72" s="25" t="s">
        <v>48</v>
      </c>
      <c r="X72" s="25" t="s">
        <v>48</v>
      </c>
      <c r="Y72" s="25" t="s">
        <v>48</v>
      </c>
      <c r="Z72" s="25" t="s">
        <v>48</v>
      </c>
      <c r="AA72" s="36" t="s">
        <v>48</v>
      </c>
      <c r="AB72" s="34" t="s">
        <v>94</v>
      </c>
    </row>
    <row r="73" spans="1:28" s="13" customFormat="1" ht="13.5">
      <c r="A73" s="100" t="s">
        <v>57</v>
      </c>
      <c r="B73" s="304"/>
      <c r="C73" s="28" t="s">
        <v>139</v>
      </c>
      <c r="D73" s="30" t="s">
        <v>32</v>
      </c>
      <c r="E73" s="39">
        <v>65</v>
      </c>
      <c r="F73" s="39">
        <v>65</v>
      </c>
      <c r="G73" s="133">
        <v>2021</v>
      </c>
      <c r="H73" s="32"/>
      <c r="I73" s="62">
        <f>1788.609+355.977</f>
        <v>2144.586</v>
      </c>
      <c r="J73" s="39">
        <f t="shared" si="6"/>
        <v>2144.586</v>
      </c>
      <c r="K73" s="30">
        <f t="shared" si="4"/>
        <v>0</v>
      </c>
      <c r="L73" s="30"/>
      <c r="M73" s="198"/>
      <c r="N73" s="198"/>
      <c r="O73" s="30">
        <f t="shared" si="5"/>
        <v>2144.586</v>
      </c>
      <c r="P73" s="30"/>
      <c r="Q73" s="30"/>
      <c r="R73" s="30"/>
      <c r="S73" s="36" t="s">
        <v>48</v>
      </c>
      <c r="T73" s="30">
        <v>100</v>
      </c>
      <c r="U73" s="25" t="s">
        <v>48</v>
      </c>
      <c r="V73" s="25" t="s">
        <v>48</v>
      </c>
      <c r="W73" s="25" t="s">
        <v>48</v>
      </c>
      <c r="X73" s="25" t="s">
        <v>48</v>
      </c>
      <c r="Y73" s="25" t="s">
        <v>48</v>
      </c>
      <c r="Z73" s="25" t="s">
        <v>48</v>
      </c>
      <c r="AA73" s="36" t="s">
        <v>48</v>
      </c>
      <c r="AB73" s="34" t="s">
        <v>94</v>
      </c>
    </row>
    <row r="74" spans="1:28" s="16" customFormat="1" ht="13.5">
      <c r="A74" s="100" t="s">
        <v>58</v>
      </c>
      <c r="B74" s="304"/>
      <c r="C74" s="28" t="s">
        <v>140</v>
      </c>
      <c r="D74" s="25" t="s">
        <v>32</v>
      </c>
      <c r="E74" s="39">
        <v>34</v>
      </c>
      <c r="F74" s="39">
        <v>34</v>
      </c>
      <c r="G74" s="133">
        <v>2021</v>
      </c>
      <c r="H74" s="32"/>
      <c r="I74" s="62">
        <f>1418.525+186.203</f>
        <v>1604.728</v>
      </c>
      <c r="J74" s="39">
        <f t="shared" si="6"/>
        <v>1604.728</v>
      </c>
      <c r="K74" s="30">
        <f t="shared" si="4"/>
        <v>0</v>
      </c>
      <c r="L74" s="30"/>
      <c r="M74" s="198"/>
      <c r="N74" s="198"/>
      <c r="O74" s="30">
        <f t="shared" si="5"/>
        <v>1604.728</v>
      </c>
      <c r="P74" s="30"/>
      <c r="Q74" s="30"/>
      <c r="R74" s="30"/>
      <c r="S74" s="36" t="s">
        <v>48</v>
      </c>
      <c r="T74" s="30">
        <v>100</v>
      </c>
      <c r="U74" s="25" t="s">
        <v>48</v>
      </c>
      <c r="V74" s="25" t="s">
        <v>48</v>
      </c>
      <c r="W74" s="25" t="s">
        <v>48</v>
      </c>
      <c r="X74" s="25" t="s">
        <v>48</v>
      </c>
      <c r="Y74" s="25" t="s">
        <v>48</v>
      </c>
      <c r="Z74" s="25" t="s">
        <v>48</v>
      </c>
      <c r="AA74" s="36" t="s">
        <v>48</v>
      </c>
      <c r="AB74" s="34" t="s">
        <v>94</v>
      </c>
    </row>
    <row r="75" spans="1:28" s="13" customFormat="1" ht="13.5">
      <c r="A75" s="100" t="s">
        <v>59</v>
      </c>
      <c r="B75" s="304"/>
      <c r="C75" s="28" t="s">
        <v>141</v>
      </c>
      <c r="D75" s="30" t="s">
        <v>32</v>
      </c>
      <c r="E75" s="39">
        <v>128</v>
      </c>
      <c r="F75" s="39">
        <v>128</v>
      </c>
      <c r="G75" s="133">
        <v>2021</v>
      </c>
      <c r="H75" s="32"/>
      <c r="I75" s="62">
        <f>2521.084+701</f>
        <v>3222.084</v>
      </c>
      <c r="J75" s="39">
        <f t="shared" si="6"/>
        <v>3222.084</v>
      </c>
      <c r="K75" s="30">
        <f t="shared" si="4"/>
        <v>0</v>
      </c>
      <c r="L75" s="30"/>
      <c r="M75" s="198"/>
      <c r="N75" s="198"/>
      <c r="O75" s="30">
        <f t="shared" si="5"/>
        <v>3222.084</v>
      </c>
      <c r="P75" s="30"/>
      <c r="Q75" s="30"/>
      <c r="R75" s="30"/>
      <c r="S75" s="36" t="s">
        <v>48</v>
      </c>
      <c r="T75" s="30">
        <v>100</v>
      </c>
      <c r="U75" s="25" t="s">
        <v>48</v>
      </c>
      <c r="V75" s="25" t="s">
        <v>48</v>
      </c>
      <c r="W75" s="25" t="s">
        <v>48</v>
      </c>
      <c r="X75" s="25" t="s">
        <v>48</v>
      </c>
      <c r="Y75" s="25" t="s">
        <v>48</v>
      </c>
      <c r="Z75" s="25" t="s">
        <v>48</v>
      </c>
      <c r="AA75" s="36" t="s">
        <v>48</v>
      </c>
      <c r="AB75" s="34" t="s">
        <v>94</v>
      </c>
    </row>
    <row r="76" spans="1:28" s="13" customFormat="1" ht="13.5">
      <c r="A76" s="100" t="s">
        <v>60</v>
      </c>
      <c r="B76" s="304"/>
      <c r="C76" s="70" t="s">
        <v>142</v>
      </c>
      <c r="D76" s="50" t="s">
        <v>32</v>
      </c>
      <c r="E76" s="71">
        <v>50</v>
      </c>
      <c r="F76" s="71">
        <v>50</v>
      </c>
      <c r="G76" s="133">
        <v>2021</v>
      </c>
      <c r="H76" s="51"/>
      <c r="I76" s="62">
        <f>1207.046+272.833</f>
        <v>1479.8790000000001</v>
      </c>
      <c r="J76" s="39">
        <f t="shared" si="6"/>
        <v>1479.8790000000001</v>
      </c>
      <c r="K76" s="30">
        <f t="shared" si="4"/>
        <v>0</v>
      </c>
      <c r="L76" s="30"/>
      <c r="M76" s="201"/>
      <c r="N76" s="201"/>
      <c r="O76" s="30">
        <f t="shared" si="5"/>
        <v>1479.8790000000001</v>
      </c>
      <c r="P76" s="50"/>
      <c r="Q76" s="50"/>
      <c r="R76" s="50"/>
      <c r="S76" s="36" t="s">
        <v>48</v>
      </c>
      <c r="T76" s="30">
        <v>100</v>
      </c>
      <c r="U76" s="25" t="s">
        <v>48</v>
      </c>
      <c r="V76" s="25" t="s">
        <v>48</v>
      </c>
      <c r="W76" s="25" t="s">
        <v>48</v>
      </c>
      <c r="X76" s="25" t="s">
        <v>48</v>
      </c>
      <c r="Y76" s="25" t="s">
        <v>48</v>
      </c>
      <c r="Z76" s="25" t="s">
        <v>48</v>
      </c>
      <c r="AA76" s="36" t="s">
        <v>48</v>
      </c>
      <c r="AB76" s="34" t="s">
        <v>94</v>
      </c>
    </row>
    <row r="77" spans="1:28" s="13" customFormat="1" ht="13.5">
      <c r="A77" s="100" t="s">
        <v>61</v>
      </c>
      <c r="B77" s="304"/>
      <c r="C77" s="70" t="s">
        <v>143</v>
      </c>
      <c r="D77" s="50" t="s">
        <v>32</v>
      </c>
      <c r="E77" s="71">
        <v>144</v>
      </c>
      <c r="F77" s="71">
        <v>144</v>
      </c>
      <c r="G77" s="133">
        <v>2021</v>
      </c>
      <c r="H77" s="51"/>
      <c r="I77" s="62">
        <f>3971.891+783.113</f>
        <v>4755.004</v>
      </c>
      <c r="J77" s="39">
        <f t="shared" si="6"/>
        <v>4755.004</v>
      </c>
      <c r="K77" s="30">
        <f t="shared" si="4"/>
        <v>0</v>
      </c>
      <c r="L77" s="30"/>
      <c r="M77" s="198"/>
      <c r="N77" s="198"/>
      <c r="O77" s="30">
        <f t="shared" si="5"/>
        <v>4755.004</v>
      </c>
      <c r="P77" s="50"/>
      <c r="Q77" s="50"/>
      <c r="R77" s="50"/>
      <c r="S77" s="36" t="s">
        <v>48</v>
      </c>
      <c r="T77" s="30">
        <v>100</v>
      </c>
      <c r="U77" s="25" t="s">
        <v>48</v>
      </c>
      <c r="V77" s="25" t="s">
        <v>48</v>
      </c>
      <c r="W77" s="25" t="s">
        <v>48</v>
      </c>
      <c r="X77" s="25" t="s">
        <v>48</v>
      </c>
      <c r="Y77" s="25" t="s">
        <v>48</v>
      </c>
      <c r="Z77" s="25" t="s">
        <v>48</v>
      </c>
      <c r="AA77" s="36" t="s">
        <v>48</v>
      </c>
      <c r="AB77" s="34" t="s">
        <v>94</v>
      </c>
    </row>
    <row r="78" spans="1:28" s="13" customFormat="1" ht="13.5">
      <c r="A78" s="100" t="s">
        <v>62</v>
      </c>
      <c r="B78" s="304"/>
      <c r="C78" s="70" t="s">
        <v>144</v>
      </c>
      <c r="D78" s="30" t="s">
        <v>32</v>
      </c>
      <c r="E78" s="71">
        <v>46</v>
      </c>
      <c r="F78" s="71">
        <v>46</v>
      </c>
      <c r="G78" s="133">
        <v>2021</v>
      </c>
      <c r="H78" s="32"/>
      <c r="I78" s="62">
        <f>1602.647+248.4</f>
        <v>1851.047</v>
      </c>
      <c r="J78" s="39">
        <f t="shared" si="6"/>
        <v>1851.047</v>
      </c>
      <c r="K78" s="30">
        <f aca="true" t="shared" si="7" ref="K78:K89">J78-I78</f>
        <v>0</v>
      </c>
      <c r="L78" s="30"/>
      <c r="M78" s="198"/>
      <c r="N78" s="198"/>
      <c r="O78" s="30">
        <f aca="true" t="shared" si="8" ref="O78:O93">J78</f>
        <v>1851.047</v>
      </c>
      <c r="P78" s="30"/>
      <c r="Q78" s="30"/>
      <c r="R78" s="30"/>
      <c r="S78" s="36" t="s">
        <v>48</v>
      </c>
      <c r="T78" s="30">
        <v>100</v>
      </c>
      <c r="U78" s="25" t="s">
        <v>48</v>
      </c>
      <c r="V78" s="25" t="s">
        <v>48</v>
      </c>
      <c r="W78" s="25" t="s">
        <v>48</v>
      </c>
      <c r="X78" s="25" t="s">
        <v>48</v>
      </c>
      <c r="Y78" s="25" t="s">
        <v>48</v>
      </c>
      <c r="Z78" s="25" t="s">
        <v>48</v>
      </c>
      <c r="AA78" s="36" t="s">
        <v>48</v>
      </c>
      <c r="AB78" s="34" t="s">
        <v>94</v>
      </c>
    </row>
    <row r="79" spans="1:28" s="13" customFormat="1" ht="17.25" customHeight="1">
      <c r="A79" s="100" t="s">
        <v>63</v>
      </c>
      <c r="B79" s="304"/>
      <c r="C79" s="70" t="s">
        <v>145</v>
      </c>
      <c r="D79" s="30" t="s">
        <v>32</v>
      </c>
      <c r="E79" s="71">
        <v>211</v>
      </c>
      <c r="F79" s="71">
        <v>211</v>
      </c>
      <c r="G79" s="133">
        <v>2021</v>
      </c>
      <c r="H79" s="32"/>
      <c r="I79" s="62">
        <f>8403.276+2300.055</f>
        <v>10703.331</v>
      </c>
      <c r="J79" s="39">
        <f t="shared" si="6"/>
        <v>10703.331</v>
      </c>
      <c r="K79" s="30">
        <f t="shared" si="7"/>
        <v>0</v>
      </c>
      <c r="L79" s="30"/>
      <c r="M79" s="198"/>
      <c r="N79" s="198"/>
      <c r="O79" s="30">
        <f t="shared" si="8"/>
        <v>10703.331</v>
      </c>
      <c r="P79" s="30"/>
      <c r="Q79" s="30"/>
      <c r="R79" s="30"/>
      <c r="S79" s="36" t="s">
        <v>48</v>
      </c>
      <c r="T79" s="30">
        <v>100</v>
      </c>
      <c r="U79" s="25" t="s">
        <v>48</v>
      </c>
      <c r="V79" s="25" t="s">
        <v>48</v>
      </c>
      <c r="W79" s="25" t="s">
        <v>48</v>
      </c>
      <c r="X79" s="25" t="s">
        <v>48</v>
      </c>
      <c r="Y79" s="25" t="s">
        <v>48</v>
      </c>
      <c r="Z79" s="25" t="s">
        <v>48</v>
      </c>
      <c r="AA79" s="36" t="s">
        <v>48</v>
      </c>
      <c r="AB79" s="34" t="s">
        <v>94</v>
      </c>
    </row>
    <row r="80" spans="1:28" s="13" customFormat="1" ht="18.75" customHeight="1">
      <c r="A80" s="100" t="s">
        <v>64</v>
      </c>
      <c r="B80" s="304"/>
      <c r="C80" s="70" t="s">
        <v>146</v>
      </c>
      <c r="D80" s="30" t="s">
        <v>32</v>
      </c>
      <c r="E80" s="71">
        <v>135</v>
      </c>
      <c r="F80" s="71">
        <v>135</v>
      </c>
      <c r="G80" s="133">
        <v>2021</v>
      </c>
      <c r="H80" s="32"/>
      <c r="I80" s="62">
        <f>11394.35+5663.662</f>
        <v>17058.012000000002</v>
      </c>
      <c r="J80" s="39">
        <f t="shared" si="6"/>
        <v>17058.012000000002</v>
      </c>
      <c r="K80" s="30">
        <f t="shared" si="7"/>
        <v>0</v>
      </c>
      <c r="L80" s="30"/>
      <c r="M80" s="198"/>
      <c r="N80" s="198"/>
      <c r="O80" s="30">
        <f t="shared" si="8"/>
        <v>17058.012000000002</v>
      </c>
      <c r="P80" s="30"/>
      <c r="Q80" s="30"/>
      <c r="R80" s="30"/>
      <c r="S80" s="36" t="s">
        <v>48</v>
      </c>
      <c r="T80" s="30">
        <v>100</v>
      </c>
      <c r="U80" s="25" t="s">
        <v>48</v>
      </c>
      <c r="V80" s="25" t="s">
        <v>48</v>
      </c>
      <c r="W80" s="25" t="s">
        <v>48</v>
      </c>
      <c r="X80" s="25" t="s">
        <v>48</v>
      </c>
      <c r="Y80" s="25" t="s">
        <v>48</v>
      </c>
      <c r="Z80" s="25" t="s">
        <v>48</v>
      </c>
      <c r="AA80" s="36" t="s">
        <v>48</v>
      </c>
      <c r="AB80" s="34" t="s">
        <v>94</v>
      </c>
    </row>
    <row r="81" spans="1:28" s="13" customFormat="1" ht="17.25" customHeight="1">
      <c r="A81" s="100" t="s">
        <v>65</v>
      </c>
      <c r="B81" s="304"/>
      <c r="C81" s="70" t="s">
        <v>147</v>
      </c>
      <c r="D81" s="30" t="s">
        <v>32</v>
      </c>
      <c r="E81" s="71">
        <v>200</v>
      </c>
      <c r="F81" s="71">
        <v>200</v>
      </c>
      <c r="G81" s="133">
        <v>2021</v>
      </c>
      <c r="H81" s="32"/>
      <c r="I81" s="62">
        <f>3928.232+1080</f>
        <v>5008.232</v>
      </c>
      <c r="J81" s="39">
        <f t="shared" si="6"/>
        <v>5008.232</v>
      </c>
      <c r="K81" s="30">
        <f t="shared" si="7"/>
        <v>0</v>
      </c>
      <c r="L81" s="30"/>
      <c r="M81" s="198"/>
      <c r="N81" s="198"/>
      <c r="O81" s="30">
        <f t="shared" si="8"/>
        <v>5008.232</v>
      </c>
      <c r="P81" s="30"/>
      <c r="Q81" s="30"/>
      <c r="R81" s="30"/>
      <c r="S81" s="36" t="s">
        <v>48</v>
      </c>
      <c r="T81" s="30">
        <v>100</v>
      </c>
      <c r="U81" s="25" t="s">
        <v>48</v>
      </c>
      <c r="V81" s="25" t="s">
        <v>48</v>
      </c>
      <c r="W81" s="25" t="s">
        <v>48</v>
      </c>
      <c r="X81" s="25" t="s">
        <v>48</v>
      </c>
      <c r="Y81" s="25" t="s">
        <v>48</v>
      </c>
      <c r="Z81" s="25" t="s">
        <v>48</v>
      </c>
      <c r="AA81" s="36" t="s">
        <v>48</v>
      </c>
      <c r="AB81" s="34" t="s">
        <v>94</v>
      </c>
    </row>
    <row r="82" spans="1:28" s="13" customFormat="1" ht="17.25" customHeight="1">
      <c r="A82" s="100" t="s">
        <v>66</v>
      </c>
      <c r="B82" s="304"/>
      <c r="C82" s="70" t="s">
        <v>148</v>
      </c>
      <c r="D82" s="30" t="s">
        <v>32</v>
      </c>
      <c r="E82" s="71">
        <v>66</v>
      </c>
      <c r="F82" s="71">
        <v>66</v>
      </c>
      <c r="G82" s="133">
        <v>2021</v>
      </c>
      <c r="H82" s="32"/>
      <c r="I82" s="62">
        <f>1811.558+356.4</f>
        <v>2167.958</v>
      </c>
      <c r="J82" s="39">
        <f t="shared" si="6"/>
        <v>2167.958</v>
      </c>
      <c r="K82" s="30">
        <f t="shared" si="7"/>
        <v>0</v>
      </c>
      <c r="L82" s="30"/>
      <c r="M82" s="198"/>
      <c r="N82" s="198"/>
      <c r="O82" s="30">
        <f t="shared" si="8"/>
        <v>2167.958</v>
      </c>
      <c r="P82" s="30"/>
      <c r="Q82" s="30"/>
      <c r="R82" s="30"/>
      <c r="S82" s="36" t="s">
        <v>48</v>
      </c>
      <c r="T82" s="30">
        <v>100</v>
      </c>
      <c r="U82" s="25" t="s">
        <v>48</v>
      </c>
      <c r="V82" s="25" t="s">
        <v>48</v>
      </c>
      <c r="W82" s="25" t="s">
        <v>48</v>
      </c>
      <c r="X82" s="25" t="s">
        <v>48</v>
      </c>
      <c r="Y82" s="25" t="s">
        <v>48</v>
      </c>
      <c r="Z82" s="25" t="s">
        <v>48</v>
      </c>
      <c r="AA82" s="36" t="s">
        <v>48</v>
      </c>
      <c r="AB82" s="34" t="s">
        <v>94</v>
      </c>
    </row>
    <row r="83" spans="1:28" s="13" customFormat="1" ht="17.25" customHeight="1">
      <c r="A83" s="100" t="s">
        <v>67</v>
      </c>
      <c r="B83" s="304"/>
      <c r="C83" s="70" t="s">
        <v>149</v>
      </c>
      <c r="D83" s="30" t="s">
        <v>32</v>
      </c>
      <c r="E83" s="71">
        <v>99</v>
      </c>
      <c r="F83" s="71">
        <v>99</v>
      </c>
      <c r="G83" s="133">
        <v>2021</v>
      </c>
      <c r="H83" s="32"/>
      <c r="I83" s="62">
        <f>2628.222+534.6</f>
        <v>3162.822</v>
      </c>
      <c r="J83" s="39">
        <f t="shared" si="6"/>
        <v>3162.822</v>
      </c>
      <c r="K83" s="30">
        <f t="shared" si="7"/>
        <v>0</v>
      </c>
      <c r="L83" s="30"/>
      <c r="M83" s="198"/>
      <c r="N83" s="198"/>
      <c r="O83" s="30">
        <f t="shared" si="8"/>
        <v>3162.822</v>
      </c>
      <c r="P83" s="30"/>
      <c r="Q83" s="30"/>
      <c r="R83" s="30"/>
      <c r="S83" s="36" t="s">
        <v>48</v>
      </c>
      <c r="T83" s="30">
        <v>100</v>
      </c>
      <c r="U83" s="25" t="s">
        <v>48</v>
      </c>
      <c r="V83" s="25" t="s">
        <v>48</v>
      </c>
      <c r="W83" s="25" t="s">
        <v>48</v>
      </c>
      <c r="X83" s="25" t="s">
        <v>48</v>
      </c>
      <c r="Y83" s="25" t="s">
        <v>48</v>
      </c>
      <c r="Z83" s="25" t="s">
        <v>48</v>
      </c>
      <c r="AA83" s="36" t="s">
        <v>48</v>
      </c>
      <c r="AB83" s="34" t="s">
        <v>94</v>
      </c>
    </row>
    <row r="84" spans="1:28" s="13" customFormat="1" ht="18.75" customHeight="1">
      <c r="A84" s="100" t="s">
        <v>68</v>
      </c>
      <c r="B84" s="304"/>
      <c r="C84" s="70" t="s">
        <v>150</v>
      </c>
      <c r="D84" s="30" t="s">
        <v>32</v>
      </c>
      <c r="E84" s="71">
        <v>65</v>
      </c>
      <c r="F84" s="71">
        <v>65</v>
      </c>
      <c r="G84" s="133">
        <v>2021</v>
      </c>
      <c r="H84" s="32"/>
      <c r="I84" s="62">
        <f>1260.788+351</f>
        <v>1611.788</v>
      </c>
      <c r="J84" s="39">
        <f t="shared" si="6"/>
        <v>1611.788</v>
      </c>
      <c r="K84" s="30">
        <f t="shared" si="7"/>
        <v>0</v>
      </c>
      <c r="L84" s="30"/>
      <c r="M84" s="198"/>
      <c r="N84" s="198"/>
      <c r="O84" s="30">
        <f t="shared" si="8"/>
        <v>1611.788</v>
      </c>
      <c r="P84" s="30"/>
      <c r="Q84" s="30"/>
      <c r="R84" s="30"/>
      <c r="S84" s="36" t="s">
        <v>48</v>
      </c>
      <c r="T84" s="30">
        <v>100</v>
      </c>
      <c r="U84" s="25" t="s">
        <v>48</v>
      </c>
      <c r="V84" s="25" t="s">
        <v>48</v>
      </c>
      <c r="W84" s="25" t="s">
        <v>48</v>
      </c>
      <c r="X84" s="25" t="s">
        <v>48</v>
      </c>
      <c r="Y84" s="25" t="s">
        <v>48</v>
      </c>
      <c r="Z84" s="25" t="s">
        <v>48</v>
      </c>
      <c r="AA84" s="36" t="s">
        <v>48</v>
      </c>
      <c r="AB84" s="34" t="s">
        <v>94</v>
      </c>
    </row>
    <row r="85" spans="1:28" s="13" customFormat="1" ht="17.25" customHeight="1">
      <c r="A85" s="100" t="s">
        <v>69</v>
      </c>
      <c r="B85" s="304"/>
      <c r="C85" s="70" t="s">
        <v>151</v>
      </c>
      <c r="D85" s="30" t="s">
        <v>32</v>
      </c>
      <c r="E85" s="71">
        <v>49</v>
      </c>
      <c r="F85" s="71">
        <v>49</v>
      </c>
      <c r="G85" s="133">
        <v>2021</v>
      </c>
      <c r="H85" s="32"/>
      <c r="I85" s="62">
        <f>264.6+1107.061</f>
        <v>1371.661</v>
      </c>
      <c r="J85" s="39">
        <f t="shared" si="6"/>
        <v>1371.661</v>
      </c>
      <c r="K85" s="30">
        <f t="shared" si="7"/>
        <v>0</v>
      </c>
      <c r="L85" s="30"/>
      <c r="M85" s="198"/>
      <c r="N85" s="198"/>
      <c r="O85" s="30">
        <f t="shared" si="8"/>
        <v>1371.661</v>
      </c>
      <c r="P85" s="30"/>
      <c r="Q85" s="30"/>
      <c r="R85" s="30"/>
      <c r="S85" s="36" t="s">
        <v>48</v>
      </c>
      <c r="T85" s="30">
        <v>100</v>
      </c>
      <c r="U85" s="25" t="s">
        <v>48</v>
      </c>
      <c r="V85" s="25" t="s">
        <v>48</v>
      </c>
      <c r="W85" s="25" t="s">
        <v>48</v>
      </c>
      <c r="X85" s="25" t="s">
        <v>48</v>
      </c>
      <c r="Y85" s="25" t="s">
        <v>48</v>
      </c>
      <c r="Z85" s="25" t="s">
        <v>48</v>
      </c>
      <c r="AA85" s="36" t="s">
        <v>48</v>
      </c>
      <c r="AB85" s="34" t="s">
        <v>94</v>
      </c>
    </row>
    <row r="86" spans="1:28" s="13" customFormat="1" ht="13.5">
      <c r="A86" s="100" t="s">
        <v>70</v>
      </c>
      <c r="B86" s="304"/>
      <c r="C86" s="70" t="s">
        <v>152</v>
      </c>
      <c r="D86" s="30" t="s">
        <v>32</v>
      </c>
      <c r="E86" s="71">
        <v>230</v>
      </c>
      <c r="F86" s="71">
        <v>230</v>
      </c>
      <c r="G86" s="133">
        <v>2021</v>
      </c>
      <c r="H86" s="32"/>
      <c r="I86" s="62">
        <f>8611.477+20421.175</f>
        <v>29032.652000000002</v>
      </c>
      <c r="J86" s="39">
        <f t="shared" si="6"/>
        <v>29032.652000000002</v>
      </c>
      <c r="K86" s="30">
        <f t="shared" si="7"/>
        <v>0</v>
      </c>
      <c r="L86" s="30"/>
      <c r="M86" s="198"/>
      <c r="N86" s="198"/>
      <c r="O86" s="30">
        <v>0</v>
      </c>
      <c r="P86" s="30">
        <v>29033</v>
      </c>
      <c r="Q86" s="30"/>
      <c r="R86" s="30"/>
      <c r="S86" s="36" t="s">
        <v>48</v>
      </c>
      <c r="T86" s="30">
        <v>100</v>
      </c>
      <c r="U86" s="25" t="s">
        <v>48</v>
      </c>
      <c r="V86" s="25" t="s">
        <v>48</v>
      </c>
      <c r="W86" s="25" t="s">
        <v>48</v>
      </c>
      <c r="X86" s="25" t="s">
        <v>48</v>
      </c>
      <c r="Y86" s="25" t="s">
        <v>48</v>
      </c>
      <c r="Z86" s="25" t="s">
        <v>48</v>
      </c>
      <c r="AA86" s="36" t="s">
        <v>48</v>
      </c>
      <c r="AB86" s="34" t="s">
        <v>94</v>
      </c>
    </row>
    <row r="87" spans="1:28" s="13" customFormat="1" ht="34.5" customHeight="1">
      <c r="A87" s="100" t="s">
        <v>71</v>
      </c>
      <c r="B87" s="304"/>
      <c r="C87" s="70" t="s">
        <v>153</v>
      </c>
      <c r="D87" s="30" t="s">
        <v>32</v>
      </c>
      <c r="E87" s="39">
        <v>19.4</v>
      </c>
      <c r="F87" s="39">
        <v>19.4</v>
      </c>
      <c r="G87" s="133">
        <v>2021</v>
      </c>
      <c r="H87" s="32"/>
      <c r="I87" s="62">
        <f>2875.357+3140.773</f>
        <v>6016.13</v>
      </c>
      <c r="J87" s="39">
        <f t="shared" si="6"/>
        <v>6016.13</v>
      </c>
      <c r="K87" s="30">
        <f t="shared" si="7"/>
        <v>0</v>
      </c>
      <c r="L87" s="30"/>
      <c r="M87" s="198"/>
      <c r="N87" s="198"/>
      <c r="O87" s="30">
        <f t="shared" si="8"/>
        <v>6016.13</v>
      </c>
      <c r="P87" s="30"/>
      <c r="Q87" s="30"/>
      <c r="R87" s="30"/>
      <c r="S87" s="36" t="s">
        <v>48</v>
      </c>
      <c r="T87" s="30">
        <v>100</v>
      </c>
      <c r="U87" s="25" t="s">
        <v>48</v>
      </c>
      <c r="V87" s="25" t="s">
        <v>48</v>
      </c>
      <c r="W87" s="25" t="s">
        <v>48</v>
      </c>
      <c r="X87" s="25" t="s">
        <v>48</v>
      </c>
      <c r="Y87" s="25" t="s">
        <v>48</v>
      </c>
      <c r="Z87" s="25" t="s">
        <v>48</v>
      </c>
      <c r="AA87" s="36" t="s">
        <v>48</v>
      </c>
      <c r="AB87" s="34" t="s">
        <v>94</v>
      </c>
    </row>
    <row r="88" spans="1:28" s="13" customFormat="1" ht="17.25" customHeight="1">
      <c r="A88" s="100" t="s">
        <v>72</v>
      </c>
      <c r="B88" s="304"/>
      <c r="C88" s="70" t="s">
        <v>154</v>
      </c>
      <c r="D88" s="30" t="s">
        <v>32</v>
      </c>
      <c r="E88" s="71">
        <v>29</v>
      </c>
      <c r="F88" s="71">
        <v>29</v>
      </c>
      <c r="G88" s="133">
        <v>2021</v>
      </c>
      <c r="H88" s="32"/>
      <c r="I88" s="62">
        <f>41.143+498.424</f>
        <v>539.567</v>
      </c>
      <c r="J88" s="39">
        <f t="shared" si="6"/>
        <v>539.567</v>
      </c>
      <c r="K88" s="30">
        <f t="shared" si="7"/>
        <v>0</v>
      </c>
      <c r="L88" s="30"/>
      <c r="M88" s="198"/>
      <c r="N88" s="198"/>
      <c r="O88" s="30">
        <f t="shared" si="8"/>
        <v>539.567</v>
      </c>
      <c r="P88" s="30"/>
      <c r="Q88" s="30"/>
      <c r="R88" s="30"/>
      <c r="S88" s="36" t="s">
        <v>48</v>
      </c>
      <c r="T88" s="30">
        <v>100</v>
      </c>
      <c r="U88" s="25" t="s">
        <v>48</v>
      </c>
      <c r="V88" s="25" t="s">
        <v>48</v>
      </c>
      <c r="W88" s="25" t="s">
        <v>48</v>
      </c>
      <c r="X88" s="25" t="s">
        <v>48</v>
      </c>
      <c r="Y88" s="25" t="s">
        <v>48</v>
      </c>
      <c r="Z88" s="25" t="s">
        <v>48</v>
      </c>
      <c r="AA88" s="36" t="s">
        <v>48</v>
      </c>
      <c r="AB88" s="34" t="s">
        <v>94</v>
      </c>
    </row>
    <row r="89" spans="1:28" s="13" customFormat="1" ht="13.5">
      <c r="A89" s="100" t="s">
        <v>73</v>
      </c>
      <c r="B89" s="304"/>
      <c r="C89" s="70" t="s">
        <v>155</v>
      </c>
      <c r="D89" s="30" t="s">
        <v>32</v>
      </c>
      <c r="E89" s="71">
        <v>95</v>
      </c>
      <c r="F89" s="71">
        <v>95</v>
      </c>
      <c r="G89" s="133">
        <v>2021</v>
      </c>
      <c r="H89" s="32"/>
      <c r="I89" s="62">
        <f>2721.395+513</f>
        <v>3234.395</v>
      </c>
      <c r="J89" s="39">
        <f t="shared" si="6"/>
        <v>3234.395</v>
      </c>
      <c r="K89" s="30">
        <f t="shared" si="7"/>
        <v>0</v>
      </c>
      <c r="L89" s="30"/>
      <c r="M89" s="198"/>
      <c r="N89" s="198"/>
      <c r="O89" s="30">
        <f t="shared" si="8"/>
        <v>3234.395</v>
      </c>
      <c r="P89" s="30"/>
      <c r="Q89" s="30"/>
      <c r="R89" s="30"/>
      <c r="S89" s="36" t="s">
        <v>48</v>
      </c>
      <c r="T89" s="30">
        <v>100</v>
      </c>
      <c r="U89" s="25" t="s">
        <v>48</v>
      </c>
      <c r="V89" s="25" t="s">
        <v>48</v>
      </c>
      <c r="W89" s="25" t="s">
        <v>48</v>
      </c>
      <c r="X89" s="25" t="s">
        <v>48</v>
      </c>
      <c r="Y89" s="25" t="s">
        <v>48</v>
      </c>
      <c r="Z89" s="25" t="s">
        <v>48</v>
      </c>
      <c r="AA89" s="36" t="s">
        <v>48</v>
      </c>
      <c r="AB89" s="34" t="s">
        <v>94</v>
      </c>
    </row>
    <row r="90" spans="1:28" s="16" customFormat="1" ht="13.5">
      <c r="A90" s="100" t="s">
        <v>74</v>
      </c>
      <c r="B90" s="304"/>
      <c r="C90" s="70" t="s">
        <v>156</v>
      </c>
      <c r="D90" s="25" t="s">
        <v>32</v>
      </c>
      <c r="E90" s="71">
        <v>99</v>
      </c>
      <c r="F90" s="71">
        <v>99</v>
      </c>
      <c r="G90" s="133">
        <v>2021</v>
      </c>
      <c r="H90" s="32"/>
      <c r="I90" s="62">
        <f>3006.278+534.6</f>
        <v>3540.8779999999997</v>
      </c>
      <c r="J90" s="39">
        <f t="shared" si="6"/>
        <v>3540.8779999999997</v>
      </c>
      <c r="K90" s="30">
        <f aca="true" t="shared" si="9" ref="K90:K95">J90-I90</f>
        <v>0</v>
      </c>
      <c r="L90" s="30"/>
      <c r="M90" s="198"/>
      <c r="N90" s="198"/>
      <c r="O90" s="30">
        <f t="shared" si="8"/>
        <v>3540.8779999999997</v>
      </c>
      <c r="P90" s="30"/>
      <c r="Q90" s="30"/>
      <c r="R90" s="30"/>
      <c r="S90" s="36" t="s">
        <v>48</v>
      </c>
      <c r="T90" s="30">
        <v>100</v>
      </c>
      <c r="U90" s="25" t="s">
        <v>48</v>
      </c>
      <c r="V90" s="25" t="s">
        <v>48</v>
      </c>
      <c r="W90" s="25" t="s">
        <v>48</v>
      </c>
      <c r="X90" s="25" t="s">
        <v>48</v>
      </c>
      <c r="Y90" s="25" t="s">
        <v>48</v>
      </c>
      <c r="Z90" s="25" t="s">
        <v>48</v>
      </c>
      <c r="AA90" s="36" t="s">
        <v>48</v>
      </c>
      <c r="AB90" s="34" t="s">
        <v>94</v>
      </c>
    </row>
    <row r="91" spans="1:28" s="13" customFormat="1" ht="13.5">
      <c r="A91" s="100" t="s">
        <v>75</v>
      </c>
      <c r="B91" s="304"/>
      <c r="C91" s="70" t="s">
        <v>157</v>
      </c>
      <c r="D91" s="30" t="s">
        <v>32</v>
      </c>
      <c r="E91" s="71">
        <v>70</v>
      </c>
      <c r="F91" s="71">
        <v>70</v>
      </c>
      <c r="G91" s="133">
        <v>2021</v>
      </c>
      <c r="H91" s="32"/>
      <c r="I91" s="62">
        <f>1543.88+378</f>
        <v>1921.88</v>
      </c>
      <c r="J91" s="39">
        <f>378+1733.803</f>
        <v>2111.803</v>
      </c>
      <c r="K91" s="30">
        <f>J91-I91</f>
        <v>189.92299999999977</v>
      </c>
      <c r="L91" s="30"/>
      <c r="M91" s="198"/>
      <c r="N91" s="198"/>
      <c r="O91" s="30">
        <f t="shared" si="8"/>
        <v>2111.803</v>
      </c>
      <c r="P91" s="30"/>
      <c r="Q91" s="30"/>
      <c r="R91" s="30"/>
      <c r="S91" s="36" t="s">
        <v>48</v>
      </c>
      <c r="T91" s="30">
        <v>100</v>
      </c>
      <c r="U91" s="25" t="s">
        <v>48</v>
      </c>
      <c r="V91" s="25" t="s">
        <v>48</v>
      </c>
      <c r="W91" s="25" t="s">
        <v>48</v>
      </c>
      <c r="X91" s="25" t="s">
        <v>48</v>
      </c>
      <c r="Y91" s="25" t="s">
        <v>48</v>
      </c>
      <c r="Z91" s="25" t="s">
        <v>48</v>
      </c>
      <c r="AA91" s="36" t="s">
        <v>48</v>
      </c>
      <c r="AB91" s="34" t="s">
        <v>94</v>
      </c>
    </row>
    <row r="92" spans="1:28" s="13" customFormat="1" ht="13.5">
      <c r="A92" s="100" t="s">
        <v>76</v>
      </c>
      <c r="B92" s="304"/>
      <c r="C92" s="70" t="s">
        <v>158</v>
      </c>
      <c r="D92" s="50" t="s">
        <v>32</v>
      </c>
      <c r="E92" s="71">
        <v>50</v>
      </c>
      <c r="F92" s="71">
        <v>50</v>
      </c>
      <c r="G92" s="133">
        <v>2021</v>
      </c>
      <c r="H92" s="51"/>
      <c r="I92" s="62">
        <f>974.118+270</f>
        <v>1244.118</v>
      </c>
      <c r="J92" s="39">
        <f>270+974.118</f>
        <v>1244.118</v>
      </c>
      <c r="K92" s="30">
        <f t="shared" si="9"/>
        <v>0</v>
      </c>
      <c r="L92" s="30"/>
      <c r="M92" s="201"/>
      <c r="N92" s="201"/>
      <c r="O92" s="30">
        <f t="shared" si="8"/>
        <v>1244.118</v>
      </c>
      <c r="P92" s="50"/>
      <c r="Q92" s="50"/>
      <c r="R92" s="50"/>
      <c r="S92" s="36" t="s">
        <v>48</v>
      </c>
      <c r="T92" s="30">
        <v>100</v>
      </c>
      <c r="U92" s="25" t="s">
        <v>48</v>
      </c>
      <c r="V92" s="25" t="s">
        <v>48</v>
      </c>
      <c r="W92" s="25" t="s">
        <v>48</v>
      </c>
      <c r="X92" s="25" t="s">
        <v>48</v>
      </c>
      <c r="Y92" s="25" t="s">
        <v>48</v>
      </c>
      <c r="Z92" s="25" t="s">
        <v>48</v>
      </c>
      <c r="AA92" s="36" t="s">
        <v>48</v>
      </c>
      <c r="AB92" s="34" t="s">
        <v>94</v>
      </c>
    </row>
    <row r="93" spans="1:28" s="13" customFormat="1" ht="13.5">
      <c r="A93" s="100" t="s">
        <v>77</v>
      </c>
      <c r="B93" s="304"/>
      <c r="C93" s="70" t="s">
        <v>159</v>
      </c>
      <c r="D93" s="50" t="s">
        <v>32</v>
      </c>
      <c r="E93" s="71">
        <v>60</v>
      </c>
      <c r="F93" s="71">
        <v>60</v>
      </c>
      <c r="G93" s="133">
        <v>2021</v>
      </c>
      <c r="H93" s="51"/>
      <c r="I93" s="62">
        <f>1164.039+324</f>
        <v>1488.039</v>
      </c>
      <c r="J93" s="39">
        <f>324+1164.039</f>
        <v>1488.039</v>
      </c>
      <c r="K93" s="30">
        <f t="shared" si="9"/>
        <v>0</v>
      </c>
      <c r="L93" s="30"/>
      <c r="M93" s="198"/>
      <c r="N93" s="198"/>
      <c r="O93" s="30">
        <f t="shared" si="8"/>
        <v>1488.039</v>
      </c>
      <c r="P93" s="50"/>
      <c r="Q93" s="50"/>
      <c r="R93" s="50"/>
      <c r="S93" s="36" t="s">
        <v>48</v>
      </c>
      <c r="T93" s="30">
        <v>100</v>
      </c>
      <c r="U93" s="25" t="s">
        <v>48</v>
      </c>
      <c r="V93" s="25" t="s">
        <v>48</v>
      </c>
      <c r="W93" s="25" t="s">
        <v>48</v>
      </c>
      <c r="X93" s="25" t="s">
        <v>48</v>
      </c>
      <c r="Y93" s="25" t="s">
        <v>48</v>
      </c>
      <c r="Z93" s="25" t="s">
        <v>48</v>
      </c>
      <c r="AA93" s="36" t="s">
        <v>48</v>
      </c>
      <c r="AB93" s="34" t="s">
        <v>94</v>
      </c>
    </row>
    <row r="94" spans="1:28" s="13" customFormat="1" ht="13.5">
      <c r="A94" s="100" t="s">
        <v>78</v>
      </c>
      <c r="B94" s="304"/>
      <c r="C94" s="70" t="s">
        <v>160</v>
      </c>
      <c r="D94" s="50" t="s">
        <v>32</v>
      </c>
      <c r="E94" s="71">
        <v>100</v>
      </c>
      <c r="F94" s="71">
        <v>132</v>
      </c>
      <c r="G94" s="133">
        <v>2021</v>
      </c>
      <c r="H94" s="51"/>
      <c r="I94" s="62">
        <f>2113.646+540</f>
        <v>2653.646</v>
      </c>
      <c r="J94" s="39">
        <f>712.8+2729.313</f>
        <v>3442.1130000000003</v>
      </c>
      <c r="K94" s="30">
        <f t="shared" si="9"/>
        <v>788.4670000000001</v>
      </c>
      <c r="L94" s="30"/>
      <c r="M94" s="201"/>
      <c r="N94" s="201"/>
      <c r="O94" s="30">
        <v>309.5</v>
      </c>
      <c r="P94" s="50">
        <v>3132.5</v>
      </c>
      <c r="Q94" s="50"/>
      <c r="R94" s="50"/>
      <c r="S94" s="36" t="s">
        <v>48</v>
      </c>
      <c r="T94" s="30">
        <v>100</v>
      </c>
      <c r="U94" s="25" t="s">
        <v>48</v>
      </c>
      <c r="V94" s="25" t="s">
        <v>48</v>
      </c>
      <c r="W94" s="25" t="s">
        <v>48</v>
      </c>
      <c r="X94" s="25" t="s">
        <v>48</v>
      </c>
      <c r="Y94" s="25" t="s">
        <v>48</v>
      </c>
      <c r="Z94" s="25" t="s">
        <v>48</v>
      </c>
      <c r="AA94" s="36" t="s">
        <v>48</v>
      </c>
      <c r="AB94" s="34" t="s">
        <v>94</v>
      </c>
    </row>
    <row r="95" spans="1:28" s="13" customFormat="1" ht="27">
      <c r="A95" s="101" t="s">
        <v>79</v>
      </c>
      <c r="B95" s="304"/>
      <c r="C95" s="233" t="s">
        <v>161</v>
      </c>
      <c r="D95" s="50" t="s">
        <v>32</v>
      </c>
      <c r="E95" s="234">
        <v>236</v>
      </c>
      <c r="F95" s="234">
        <v>297</v>
      </c>
      <c r="G95" s="235">
        <v>2021</v>
      </c>
      <c r="H95" s="51"/>
      <c r="I95" s="236">
        <f>7113.185+2581.84</f>
        <v>9695.025000000001</v>
      </c>
      <c r="J95" s="237">
        <f>3527.705+10976.15</f>
        <v>14503.855</v>
      </c>
      <c r="K95" s="232">
        <f t="shared" si="9"/>
        <v>4808.829999999998</v>
      </c>
      <c r="L95" s="232" t="s">
        <v>95</v>
      </c>
      <c r="M95" s="201"/>
      <c r="N95" s="201"/>
      <c r="O95" s="232"/>
      <c r="P95" s="50">
        <v>14504</v>
      </c>
      <c r="Q95" s="50"/>
      <c r="R95" s="50"/>
      <c r="S95" s="238" t="s">
        <v>48</v>
      </c>
      <c r="T95" s="232">
        <v>100</v>
      </c>
      <c r="U95" s="239" t="s">
        <v>48</v>
      </c>
      <c r="V95" s="239" t="s">
        <v>48</v>
      </c>
      <c r="W95" s="239" t="s">
        <v>48</v>
      </c>
      <c r="X95" s="239" t="s">
        <v>48</v>
      </c>
      <c r="Y95" s="239" t="s">
        <v>48</v>
      </c>
      <c r="Z95" s="239" t="s">
        <v>48</v>
      </c>
      <c r="AA95" s="238" t="s">
        <v>48</v>
      </c>
      <c r="AB95" s="96" t="s">
        <v>94</v>
      </c>
    </row>
    <row r="96" spans="1:28" s="267" customFormat="1" ht="15.75">
      <c r="A96" s="266"/>
      <c r="B96" s="305"/>
      <c r="C96" s="251" t="s">
        <v>39</v>
      </c>
      <c r="D96" s="191"/>
      <c r="E96" s="252">
        <f>SUM(E62:E95)</f>
        <v>3517.4</v>
      </c>
      <c r="F96" s="191">
        <f>SUM(F62:F95)</f>
        <v>3610.4</v>
      </c>
      <c r="G96" s="253"/>
      <c r="H96" s="149"/>
      <c r="I96" s="254">
        <f>SUM(I62:I95)</f>
        <v>175661.93</v>
      </c>
      <c r="J96" s="254">
        <f>SUM(J62:J95)</f>
        <v>181449.15000000002</v>
      </c>
      <c r="K96" s="191">
        <f>J96-I96</f>
        <v>5787.22000000003</v>
      </c>
      <c r="L96" s="150"/>
      <c r="M96" s="130"/>
      <c r="N96" s="130">
        <f>J96</f>
        <v>181449.15000000002</v>
      </c>
      <c r="O96" s="191">
        <f>SUM(O62:O95)</f>
        <v>134780.03</v>
      </c>
      <c r="P96" s="191">
        <f>SUM(P62:P95)</f>
        <v>46669.5</v>
      </c>
      <c r="Q96" s="191"/>
      <c r="R96" s="191"/>
      <c r="S96" s="151"/>
      <c r="T96" s="74">
        <v>100</v>
      </c>
      <c r="U96" s="77">
        <v>0.615</v>
      </c>
      <c r="V96" s="77">
        <v>0.623</v>
      </c>
      <c r="W96" s="78" t="s">
        <v>48</v>
      </c>
      <c r="X96" s="78" t="s">
        <v>48</v>
      </c>
      <c r="Y96" s="82">
        <v>0.07</v>
      </c>
      <c r="Z96" s="83">
        <v>0.03</v>
      </c>
      <c r="AA96" s="151"/>
      <c r="AB96" s="152"/>
    </row>
    <row r="97" spans="1:28" s="270" customFormat="1" ht="15">
      <c r="A97" s="268" t="s">
        <v>42</v>
      </c>
      <c r="B97" s="269"/>
      <c r="C97" s="156" t="s">
        <v>49</v>
      </c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</row>
    <row r="98" spans="1:28" s="273" customFormat="1" ht="27">
      <c r="A98" s="271" t="s">
        <v>52</v>
      </c>
      <c r="B98" s="272"/>
      <c r="C98" s="90" t="s">
        <v>286</v>
      </c>
      <c r="D98" s="89" t="s">
        <v>165</v>
      </c>
      <c r="E98" s="33">
        <v>2</v>
      </c>
      <c r="F98" s="33">
        <v>2</v>
      </c>
      <c r="G98" s="104">
        <v>2021</v>
      </c>
      <c r="H98" s="32"/>
      <c r="I98" s="33">
        <v>79558.232</v>
      </c>
      <c r="J98" s="33">
        <v>79558.232</v>
      </c>
      <c r="K98" s="255">
        <f>J98-I98</f>
        <v>0</v>
      </c>
      <c r="L98" s="34"/>
      <c r="M98" s="199">
        <v>70361.5</v>
      </c>
      <c r="N98" s="199">
        <v>9196.5</v>
      </c>
      <c r="O98" s="33"/>
      <c r="P98" s="30">
        <f>9196+70362</f>
        <v>79558</v>
      </c>
      <c r="Q98" s="256"/>
      <c r="R98" s="30"/>
      <c r="S98" s="36" t="s">
        <v>48</v>
      </c>
      <c r="T98" s="30">
        <v>100</v>
      </c>
      <c r="U98" s="36" t="s">
        <v>48</v>
      </c>
      <c r="V98" s="36" t="s">
        <v>48</v>
      </c>
      <c r="W98" s="36" t="s">
        <v>48</v>
      </c>
      <c r="X98" s="36" t="s">
        <v>48</v>
      </c>
      <c r="Y98" s="36" t="s">
        <v>48</v>
      </c>
      <c r="Z98" s="36" t="s">
        <v>48</v>
      </c>
      <c r="AA98" s="36" t="s">
        <v>48</v>
      </c>
      <c r="AB98" s="34" t="s">
        <v>94</v>
      </c>
    </row>
    <row r="99" spans="1:28" s="273" customFormat="1" ht="13.5">
      <c r="A99" s="271" t="s">
        <v>41</v>
      </c>
      <c r="B99" s="272"/>
      <c r="C99" s="90" t="s">
        <v>162</v>
      </c>
      <c r="D99" s="89" t="s">
        <v>33</v>
      </c>
      <c r="E99" s="33">
        <v>1</v>
      </c>
      <c r="F99" s="33">
        <v>1</v>
      </c>
      <c r="G99" s="104">
        <v>2021</v>
      </c>
      <c r="H99" s="32"/>
      <c r="I99" s="33">
        <v>695.029</v>
      </c>
      <c r="J99" s="33">
        <v>695.029</v>
      </c>
      <c r="K99" s="255">
        <f>J99-I99</f>
        <v>0</v>
      </c>
      <c r="L99" s="30"/>
      <c r="M99" s="198">
        <v>695</v>
      </c>
      <c r="N99" s="198"/>
      <c r="O99" s="33"/>
      <c r="P99" s="30">
        <v>695</v>
      </c>
      <c r="Q99" s="30"/>
      <c r="R99" s="30"/>
      <c r="S99" s="36" t="s">
        <v>48</v>
      </c>
      <c r="T99" s="30">
        <v>100</v>
      </c>
      <c r="U99" s="36" t="s">
        <v>48</v>
      </c>
      <c r="V99" s="36" t="s">
        <v>48</v>
      </c>
      <c r="W99" s="36" t="s">
        <v>48</v>
      </c>
      <c r="X99" s="36" t="s">
        <v>48</v>
      </c>
      <c r="Y99" s="36" t="s">
        <v>48</v>
      </c>
      <c r="Z99" s="36" t="s">
        <v>48</v>
      </c>
      <c r="AA99" s="36" t="s">
        <v>48</v>
      </c>
      <c r="AB99" s="34" t="s">
        <v>94</v>
      </c>
    </row>
    <row r="100" spans="1:28" s="273" customFormat="1" ht="13.5">
      <c r="A100" s="271" t="s">
        <v>42</v>
      </c>
      <c r="B100" s="272"/>
      <c r="C100" s="90" t="s">
        <v>163</v>
      </c>
      <c r="D100" s="89" t="s">
        <v>33</v>
      </c>
      <c r="E100" s="33">
        <v>1</v>
      </c>
      <c r="F100" s="33">
        <v>1</v>
      </c>
      <c r="G100" s="104">
        <v>2021</v>
      </c>
      <c r="H100" s="32"/>
      <c r="I100" s="33">
        <v>2153</v>
      </c>
      <c r="J100" s="33">
        <v>2153</v>
      </c>
      <c r="K100" s="255">
        <f>J100-I100</f>
        <v>0</v>
      </c>
      <c r="L100" s="30"/>
      <c r="M100" s="198">
        <f>J100</f>
        <v>2153</v>
      </c>
      <c r="N100" s="198"/>
      <c r="O100" s="33"/>
      <c r="P100" s="30">
        <v>2153</v>
      </c>
      <c r="Q100" s="30"/>
      <c r="R100" s="30"/>
      <c r="S100" s="36" t="s">
        <v>48</v>
      </c>
      <c r="T100" s="30">
        <v>100</v>
      </c>
      <c r="U100" s="36" t="s">
        <v>48</v>
      </c>
      <c r="V100" s="36" t="s">
        <v>48</v>
      </c>
      <c r="W100" s="36" t="s">
        <v>48</v>
      </c>
      <c r="X100" s="36" t="s">
        <v>48</v>
      </c>
      <c r="Y100" s="36" t="s">
        <v>48</v>
      </c>
      <c r="Z100" s="36" t="s">
        <v>48</v>
      </c>
      <c r="AA100" s="36" t="s">
        <v>48</v>
      </c>
      <c r="AB100" s="34" t="s">
        <v>94</v>
      </c>
    </row>
    <row r="101" spans="1:28" s="273" customFormat="1" ht="13.5">
      <c r="A101" s="271" t="s">
        <v>43</v>
      </c>
      <c r="B101" s="272"/>
      <c r="C101" s="90" t="s">
        <v>164</v>
      </c>
      <c r="D101" s="89" t="s">
        <v>33</v>
      </c>
      <c r="E101" s="33">
        <v>1</v>
      </c>
      <c r="F101" s="33">
        <v>1</v>
      </c>
      <c r="G101" s="104">
        <v>2021</v>
      </c>
      <c r="H101" s="32"/>
      <c r="I101" s="33">
        <f>8068.135/1.12</f>
        <v>7203.691964285714</v>
      </c>
      <c r="J101" s="33">
        <f>8068.135/1.12</f>
        <v>7203.691964285714</v>
      </c>
      <c r="K101" s="255">
        <f>J101-I101</f>
        <v>0</v>
      </c>
      <c r="L101" s="30"/>
      <c r="M101" s="198">
        <v>7204</v>
      </c>
      <c r="N101" s="198"/>
      <c r="O101" s="33"/>
      <c r="P101" s="30">
        <v>7204</v>
      </c>
      <c r="Q101" s="30"/>
      <c r="R101" s="30"/>
      <c r="S101" s="36" t="s">
        <v>48</v>
      </c>
      <c r="T101" s="30">
        <v>100</v>
      </c>
      <c r="U101" s="36" t="s">
        <v>48</v>
      </c>
      <c r="V101" s="36" t="s">
        <v>48</v>
      </c>
      <c r="W101" s="36" t="s">
        <v>48</v>
      </c>
      <c r="X101" s="36" t="s">
        <v>48</v>
      </c>
      <c r="Y101" s="36" t="s">
        <v>48</v>
      </c>
      <c r="Z101" s="36" t="s">
        <v>48</v>
      </c>
      <c r="AA101" s="36" t="s">
        <v>48</v>
      </c>
      <c r="AB101" s="34" t="s">
        <v>94</v>
      </c>
    </row>
    <row r="102" spans="1:28" s="273" customFormat="1" ht="13.5">
      <c r="A102" s="271" t="s">
        <v>44</v>
      </c>
      <c r="B102" s="272"/>
      <c r="C102" s="90" t="s">
        <v>268</v>
      </c>
      <c r="D102" s="89" t="s">
        <v>33</v>
      </c>
      <c r="E102" s="33">
        <v>0</v>
      </c>
      <c r="F102" s="33">
        <v>1</v>
      </c>
      <c r="G102" s="104">
        <v>2021</v>
      </c>
      <c r="H102" s="32"/>
      <c r="I102" s="33">
        <v>0</v>
      </c>
      <c r="J102" s="33">
        <f>2345</f>
        <v>2345</v>
      </c>
      <c r="K102" s="255">
        <f>J102-I102</f>
        <v>2345</v>
      </c>
      <c r="L102" s="30"/>
      <c r="M102" s="198">
        <f>J102</f>
        <v>2345</v>
      </c>
      <c r="N102" s="198"/>
      <c r="O102" s="33"/>
      <c r="P102" s="30">
        <v>2345</v>
      </c>
      <c r="Q102" s="30"/>
      <c r="R102" s="30"/>
      <c r="S102" s="36"/>
      <c r="T102" s="30">
        <v>100</v>
      </c>
      <c r="U102" s="36" t="s">
        <v>48</v>
      </c>
      <c r="V102" s="36" t="s">
        <v>48</v>
      </c>
      <c r="W102" s="36" t="s">
        <v>48</v>
      </c>
      <c r="X102" s="36" t="s">
        <v>48</v>
      </c>
      <c r="Y102" s="36" t="s">
        <v>48</v>
      </c>
      <c r="Z102" s="36" t="s">
        <v>48</v>
      </c>
      <c r="AA102" s="36" t="s">
        <v>48</v>
      </c>
      <c r="AB102" s="34" t="s">
        <v>94</v>
      </c>
    </row>
    <row r="103" spans="1:28" s="276" customFormat="1" ht="15.75">
      <c r="A103" s="274"/>
      <c r="B103" s="275"/>
      <c r="C103" s="145" t="s">
        <v>91</v>
      </c>
      <c r="D103" s="257"/>
      <c r="E103" s="191">
        <f>SUM(E98:E102)</f>
        <v>5</v>
      </c>
      <c r="F103" s="191">
        <f>SUM(F98:F102)</f>
        <v>6</v>
      </c>
      <c r="G103" s="148"/>
      <c r="H103" s="258"/>
      <c r="I103" s="191">
        <f>SUM(I98:I102)</f>
        <v>89609.95296428571</v>
      </c>
      <c r="J103" s="191">
        <f>SUM(J98:J102)</f>
        <v>91954.95296428571</v>
      </c>
      <c r="K103" s="259">
        <f>SUM(K98:K102)</f>
        <v>2345</v>
      </c>
      <c r="L103" s="260"/>
      <c r="M103" s="130">
        <f>SUM(M98:M102)</f>
        <v>82758.5</v>
      </c>
      <c r="N103" s="130">
        <f>SUM(N98:N102)</f>
        <v>9196.5</v>
      </c>
      <c r="O103" s="191">
        <f>SUM(O98:O102)</f>
        <v>0</v>
      </c>
      <c r="P103" s="191">
        <f>SUM(P98:P102)</f>
        <v>91955</v>
      </c>
      <c r="Q103" s="261"/>
      <c r="R103" s="262"/>
      <c r="S103" s="192" t="s">
        <v>48</v>
      </c>
      <c r="T103" s="17">
        <v>100</v>
      </c>
      <c r="U103" s="263"/>
      <c r="V103" s="264"/>
      <c r="W103" s="192"/>
      <c r="X103" s="192"/>
      <c r="Y103" s="192"/>
      <c r="Z103" s="192"/>
      <c r="AA103" s="192"/>
      <c r="AB103" s="265"/>
    </row>
    <row r="104" spans="1:28" s="270" customFormat="1" ht="18.75" customHeight="1">
      <c r="A104" s="268" t="s">
        <v>43</v>
      </c>
      <c r="B104" s="269"/>
      <c r="C104" s="156" t="s">
        <v>37</v>
      </c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</row>
    <row r="105" spans="1:28" s="278" customFormat="1" ht="15.75" customHeight="1">
      <c r="A105" s="271" t="s">
        <v>52</v>
      </c>
      <c r="B105" s="277"/>
      <c r="C105" s="26" t="s">
        <v>166</v>
      </c>
      <c r="D105" s="89" t="s">
        <v>168</v>
      </c>
      <c r="E105" s="103">
        <v>1</v>
      </c>
      <c r="F105" s="104">
        <v>1</v>
      </c>
      <c r="G105" s="104">
        <v>2021</v>
      </c>
      <c r="H105" s="32"/>
      <c r="I105" s="102">
        <f>58035</f>
        <v>58035</v>
      </c>
      <c r="J105" s="102">
        <f>58035</f>
        <v>58035</v>
      </c>
      <c r="K105" s="30">
        <f>J105-I105</f>
        <v>0</v>
      </c>
      <c r="L105" s="34"/>
      <c r="M105" s="199"/>
      <c r="N105" s="199"/>
      <c r="O105" s="106" t="s">
        <v>48</v>
      </c>
      <c r="P105" s="103" t="str">
        <f>O105</f>
        <v>-</v>
      </c>
      <c r="Q105" s="107">
        <v>32151.786</v>
      </c>
      <c r="R105" s="107">
        <f>J105-Q105</f>
        <v>25883.214</v>
      </c>
      <c r="S105" s="108" t="s">
        <v>48</v>
      </c>
      <c r="T105" s="109">
        <v>100</v>
      </c>
      <c r="U105" s="36" t="s">
        <v>48</v>
      </c>
      <c r="V105" s="36" t="s">
        <v>48</v>
      </c>
      <c r="W105" s="36" t="s">
        <v>48</v>
      </c>
      <c r="X105" s="36" t="s">
        <v>48</v>
      </c>
      <c r="Y105" s="36" t="s">
        <v>48</v>
      </c>
      <c r="Z105" s="36" t="s">
        <v>48</v>
      </c>
      <c r="AA105" s="36" t="s">
        <v>48</v>
      </c>
      <c r="AB105" s="34"/>
    </row>
    <row r="106" spans="1:28" s="92" customFormat="1" ht="27">
      <c r="A106" s="240" t="s">
        <v>41</v>
      </c>
      <c r="B106" s="91"/>
      <c r="C106" s="241" t="s">
        <v>167</v>
      </c>
      <c r="D106" s="95" t="s">
        <v>33</v>
      </c>
      <c r="E106" s="242">
        <v>1</v>
      </c>
      <c r="F106" s="243">
        <v>1</v>
      </c>
      <c r="G106" s="243">
        <v>2021</v>
      </c>
      <c r="H106" s="244"/>
      <c r="I106" s="105">
        <v>8750</v>
      </c>
      <c r="J106" s="105">
        <v>8750</v>
      </c>
      <c r="K106" s="245">
        <f>J106-I106</f>
        <v>0</v>
      </c>
      <c r="L106" s="246"/>
      <c r="M106" s="247">
        <f>J106</f>
        <v>8750</v>
      </c>
      <c r="N106" s="247"/>
      <c r="O106" s="242">
        <v>0</v>
      </c>
      <c r="P106" s="242">
        <v>8750</v>
      </c>
      <c r="Q106" s="105">
        <v>0</v>
      </c>
      <c r="R106" s="105">
        <v>0</v>
      </c>
      <c r="S106" s="248" t="s">
        <v>48</v>
      </c>
      <c r="T106" s="249">
        <v>100</v>
      </c>
      <c r="U106" s="250" t="s">
        <v>48</v>
      </c>
      <c r="V106" s="250" t="s">
        <v>48</v>
      </c>
      <c r="W106" s="250" t="s">
        <v>48</v>
      </c>
      <c r="X106" s="250" t="s">
        <v>48</v>
      </c>
      <c r="Y106" s="250" t="s">
        <v>48</v>
      </c>
      <c r="Z106" s="250" t="s">
        <v>48</v>
      </c>
      <c r="AA106" s="250" t="s">
        <v>48</v>
      </c>
      <c r="AB106" s="97" t="s">
        <v>289</v>
      </c>
    </row>
    <row r="107" spans="1:28" s="153" customFormat="1" ht="32.25">
      <c r="A107" s="143"/>
      <c r="B107" s="144"/>
      <c r="C107" s="145" t="s">
        <v>40</v>
      </c>
      <c r="D107" s="146"/>
      <c r="E107" s="147">
        <f>SUM(E105:E106)</f>
        <v>2</v>
      </c>
      <c r="F107" s="148">
        <f>SUM(F105:F106)</f>
        <v>2</v>
      </c>
      <c r="G107" s="148"/>
      <c r="H107" s="149"/>
      <c r="I107" s="147">
        <f>SUM(I105:I106)</f>
        <v>66785</v>
      </c>
      <c r="J107" s="147">
        <f>SUM(J105:J106)</f>
        <v>66785</v>
      </c>
      <c r="K107" s="147">
        <f>J107-I107</f>
        <v>0</v>
      </c>
      <c r="L107" s="150"/>
      <c r="M107" s="130">
        <f>M105+M106</f>
        <v>8750</v>
      </c>
      <c r="N107" s="130">
        <v>0</v>
      </c>
      <c r="O107" s="191">
        <f>O106</f>
        <v>0</v>
      </c>
      <c r="P107" s="191">
        <f>SUM(P106)</f>
        <v>8750</v>
      </c>
      <c r="Q107" s="210">
        <f>SUM(Q105:Q106)</f>
        <v>32151.786</v>
      </c>
      <c r="R107" s="210">
        <f>SUM(R105:R106)</f>
        <v>25883.214</v>
      </c>
      <c r="S107" s="151" t="s">
        <v>48</v>
      </c>
      <c r="T107" s="146">
        <v>100</v>
      </c>
      <c r="U107" s="151"/>
      <c r="V107" s="151"/>
      <c r="W107" s="151"/>
      <c r="X107" s="151"/>
      <c r="Y107" s="151"/>
      <c r="Z107" s="150"/>
      <c r="AA107" s="151"/>
      <c r="AB107" s="152"/>
    </row>
    <row r="108" spans="1:28" s="79" customFormat="1" ht="15">
      <c r="A108" s="154">
        <v>5</v>
      </c>
      <c r="B108" s="155"/>
      <c r="C108" s="156" t="s">
        <v>35</v>
      </c>
      <c r="D108" s="157"/>
      <c r="E108" s="158"/>
      <c r="F108" s="155"/>
      <c r="G108" s="159"/>
      <c r="H108" s="155"/>
      <c r="I108" s="160">
        <f>SUM(I109:I152)</f>
        <v>15764.716</v>
      </c>
      <c r="J108" s="87">
        <f>SUM(J109:J152)</f>
        <v>24244.368000000002</v>
      </c>
      <c r="K108" s="112">
        <v>8479</v>
      </c>
      <c r="L108" s="161"/>
      <c r="M108" s="87">
        <v>24244</v>
      </c>
      <c r="N108" s="161"/>
      <c r="O108" s="162"/>
      <c r="P108" s="87">
        <v>24244.368000000002</v>
      </c>
      <c r="Q108" s="163"/>
      <c r="R108" s="163"/>
      <c r="S108" s="161"/>
      <c r="T108" s="161"/>
      <c r="U108" s="161"/>
      <c r="V108" s="161"/>
      <c r="W108" s="163"/>
      <c r="X108" s="163"/>
      <c r="Y108" s="163"/>
      <c r="Z108" s="163"/>
      <c r="AA108" s="163"/>
      <c r="AB108" s="163"/>
    </row>
    <row r="109" spans="1:28" s="13" customFormat="1" ht="15">
      <c r="A109" s="217">
        <v>1</v>
      </c>
      <c r="B109" s="98"/>
      <c r="C109" s="28" t="s">
        <v>169</v>
      </c>
      <c r="D109" s="165" t="s">
        <v>33</v>
      </c>
      <c r="E109" s="102">
        <v>2</v>
      </c>
      <c r="F109" s="102">
        <v>2</v>
      </c>
      <c r="G109" s="125"/>
      <c r="H109" s="98"/>
      <c r="I109" s="71">
        <f>1236+259.6</f>
        <v>1495.6</v>
      </c>
      <c r="J109" s="71">
        <f>1236+259.6</f>
        <v>1495.6</v>
      </c>
      <c r="K109" s="224">
        <f aca="true" t="shared" si="10" ref="K109:K171">J109-I109</f>
        <v>0</v>
      </c>
      <c r="L109" s="98"/>
      <c r="M109" s="213"/>
      <c r="N109" s="137"/>
      <c r="O109" s="107"/>
      <c r="P109" s="71">
        <v>1495.6</v>
      </c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</row>
    <row r="110" spans="1:28" s="13" customFormat="1" ht="15" hidden="1">
      <c r="A110" s="217">
        <v>2</v>
      </c>
      <c r="B110" s="98"/>
      <c r="C110" s="28" t="s">
        <v>204</v>
      </c>
      <c r="D110" s="165" t="s">
        <v>33</v>
      </c>
      <c r="E110" s="102">
        <v>0</v>
      </c>
      <c r="F110" s="102">
        <v>10</v>
      </c>
      <c r="G110" s="125"/>
      <c r="H110" s="98"/>
      <c r="I110" s="71">
        <v>0</v>
      </c>
      <c r="J110" s="71">
        <v>227.5</v>
      </c>
      <c r="K110" s="224">
        <f t="shared" si="10"/>
        <v>227.5</v>
      </c>
      <c r="L110" s="98"/>
      <c r="M110" s="213"/>
      <c r="N110" s="137"/>
      <c r="O110" s="107"/>
      <c r="P110" s="71">
        <v>227.5</v>
      </c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</row>
    <row r="111" spans="1:28" s="13" customFormat="1" ht="15">
      <c r="A111" s="217">
        <v>2</v>
      </c>
      <c r="B111" s="98"/>
      <c r="C111" s="28" t="s">
        <v>170</v>
      </c>
      <c r="D111" s="165" t="s">
        <v>33</v>
      </c>
      <c r="E111" s="102">
        <v>1</v>
      </c>
      <c r="F111" s="102">
        <v>1</v>
      </c>
      <c r="G111" s="125"/>
      <c r="H111" s="98"/>
      <c r="I111" s="71">
        <v>286.828</v>
      </c>
      <c r="J111" s="71">
        <v>286.828</v>
      </c>
      <c r="K111" s="224">
        <f t="shared" si="10"/>
        <v>0</v>
      </c>
      <c r="L111" s="98"/>
      <c r="M111" s="213"/>
      <c r="N111" s="137"/>
      <c r="O111" s="107"/>
      <c r="P111" s="71">
        <v>286.828</v>
      </c>
      <c r="Q111" s="166"/>
      <c r="R111" s="166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</row>
    <row r="112" spans="1:28" s="13" customFormat="1" ht="15">
      <c r="A112" s="217">
        <v>3</v>
      </c>
      <c r="B112" s="98"/>
      <c r="C112" s="28" t="s">
        <v>171</v>
      </c>
      <c r="D112" s="165" t="s">
        <v>33</v>
      </c>
      <c r="E112" s="102">
        <v>4</v>
      </c>
      <c r="F112" s="102">
        <v>4</v>
      </c>
      <c r="G112" s="125"/>
      <c r="H112" s="98"/>
      <c r="I112" s="71">
        <v>499.607</v>
      </c>
      <c r="J112" s="71">
        <v>499.607</v>
      </c>
      <c r="K112" s="224">
        <f t="shared" si="10"/>
        <v>0</v>
      </c>
      <c r="L112" s="98"/>
      <c r="M112" s="213"/>
      <c r="N112" s="137"/>
      <c r="O112" s="107"/>
      <c r="P112" s="71">
        <v>499.607</v>
      </c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</row>
    <row r="113" spans="1:28" s="13" customFormat="1" ht="15" hidden="1">
      <c r="A113" s="217">
        <v>5</v>
      </c>
      <c r="B113" s="98"/>
      <c r="C113" s="28" t="s">
        <v>269</v>
      </c>
      <c r="D113" s="165" t="s">
        <v>33</v>
      </c>
      <c r="E113" s="102">
        <v>0</v>
      </c>
      <c r="F113" s="102">
        <v>4</v>
      </c>
      <c r="G113" s="125"/>
      <c r="H113" s="98"/>
      <c r="I113" s="71">
        <v>0</v>
      </c>
      <c r="J113" s="71">
        <v>95.42</v>
      </c>
      <c r="K113" s="224">
        <f t="shared" si="10"/>
        <v>95.42</v>
      </c>
      <c r="L113" s="98"/>
      <c r="M113" s="213"/>
      <c r="N113" s="137"/>
      <c r="O113" s="107"/>
      <c r="P113" s="71">
        <v>95.42</v>
      </c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</row>
    <row r="114" spans="1:28" s="13" customFormat="1" ht="15">
      <c r="A114" s="217">
        <v>4</v>
      </c>
      <c r="B114" s="98"/>
      <c r="C114" s="28" t="s">
        <v>172</v>
      </c>
      <c r="D114" s="165" t="s">
        <v>33</v>
      </c>
      <c r="E114" s="102">
        <v>1</v>
      </c>
      <c r="F114" s="102">
        <v>1</v>
      </c>
      <c r="G114" s="125"/>
      <c r="H114" s="98"/>
      <c r="I114" s="71">
        <v>312.5</v>
      </c>
      <c r="J114" s="71">
        <v>312.5</v>
      </c>
      <c r="K114" s="224">
        <f t="shared" si="10"/>
        <v>0</v>
      </c>
      <c r="L114" s="98"/>
      <c r="M114" s="213"/>
      <c r="N114" s="137"/>
      <c r="O114" s="107"/>
      <c r="P114" s="71">
        <v>312.5</v>
      </c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</row>
    <row r="115" spans="1:28" s="13" customFormat="1" ht="15">
      <c r="A115" s="217">
        <v>5</v>
      </c>
      <c r="B115" s="98"/>
      <c r="C115" s="28" t="s">
        <v>173</v>
      </c>
      <c r="D115" s="165" t="s">
        <v>33</v>
      </c>
      <c r="E115" s="102">
        <v>3</v>
      </c>
      <c r="F115" s="102">
        <v>3</v>
      </c>
      <c r="G115" s="125"/>
      <c r="H115" s="98"/>
      <c r="I115" s="71">
        <v>388.393</v>
      </c>
      <c r="J115" s="71">
        <v>388.393</v>
      </c>
      <c r="K115" s="224">
        <f t="shared" si="10"/>
        <v>0</v>
      </c>
      <c r="L115" s="98"/>
      <c r="M115" s="213"/>
      <c r="N115" s="137"/>
      <c r="O115" s="107"/>
      <c r="P115" s="71">
        <v>388.393</v>
      </c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</row>
    <row r="116" spans="1:28" s="13" customFormat="1" ht="15">
      <c r="A116" s="217">
        <v>5.85714285714286</v>
      </c>
      <c r="B116" s="167"/>
      <c r="C116" s="28" t="s">
        <v>174</v>
      </c>
      <c r="D116" s="165" t="s">
        <v>33</v>
      </c>
      <c r="E116" s="102">
        <v>1</v>
      </c>
      <c r="F116" s="102">
        <v>1</v>
      </c>
      <c r="G116" s="168"/>
      <c r="H116" s="169"/>
      <c r="I116" s="71">
        <v>945</v>
      </c>
      <c r="J116" s="71">
        <v>945</v>
      </c>
      <c r="K116" s="224">
        <f t="shared" si="10"/>
        <v>0</v>
      </c>
      <c r="L116" s="169"/>
      <c r="M116" s="214"/>
      <c r="N116" s="139"/>
      <c r="O116" s="107"/>
      <c r="P116" s="71">
        <v>945</v>
      </c>
      <c r="Q116" s="169"/>
      <c r="R116" s="169"/>
      <c r="S116" s="169"/>
      <c r="T116" s="169"/>
      <c r="U116" s="169"/>
      <c r="V116" s="169"/>
      <c r="W116" s="98"/>
      <c r="X116" s="98"/>
      <c r="Y116" s="98"/>
      <c r="Z116" s="98"/>
      <c r="AA116" s="98"/>
      <c r="AB116" s="98"/>
    </row>
    <row r="117" spans="1:28" s="13" customFormat="1" ht="27">
      <c r="A117" s="217">
        <v>6.53571428571429</v>
      </c>
      <c r="B117" s="167"/>
      <c r="C117" s="28" t="s">
        <v>175</v>
      </c>
      <c r="D117" s="165" t="s">
        <v>33</v>
      </c>
      <c r="E117" s="102">
        <v>4</v>
      </c>
      <c r="F117" s="102">
        <v>4</v>
      </c>
      <c r="G117" s="168"/>
      <c r="H117" s="169"/>
      <c r="I117" s="71">
        <f>172.956+172.956+24.935+24.935</f>
        <v>395.782</v>
      </c>
      <c r="J117" s="71">
        <f>172.956+172.956+24.935+24.935</f>
        <v>395.782</v>
      </c>
      <c r="K117" s="224">
        <f t="shared" si="10"/>
        <v>0</v>
      </c>
      <c r="L117" s="169"/>
      <c r="M117" s="215"/>
      <c r="N117" s="202"/>
      <c r="O117" s="107"/>
      <c r="P117" s="71">
        <v>395.782</v>
      </c>
      <c r="Q117" s="169"/>
      <c r="R117" s="169"/>
      <c r="S117" s="169"/>
      <c r="T117" s="169"/>
      <c r="U117" s="169"/>
      <c r="V117" s="169"/>
      <c r="W117" s="98"/>
      <c r="X117" s="98"/>
      <c r="Y117" s="98"/>
      <c r="Z117" s="98"/>
      <c r="AA117" s="98"/>
      <c r="AB117" s="98"/>
    </row>
    <row r="118" spans="1:28" s="13" customFormat="1" ht="15" hidden="1">
      <c r="A118" s="217">
        <v>7.21428571428572</v>
      </c>
      <c r="B118" s="167"/>
      <c r="C118" s="28" t="s">
        <v>205</v>
      </c>
      <c r="D118" s="165" t="s">
        <v>33</v>
      </c>
      <c r="E118" s="102">
        <v>0</v>
      </c>
      <c r="F118" s="102">
        <v>4</v>
      </c>
      <c r="G118" s="168"/>
      <c r="H118" s="169"/>
      <c r="I118" s="71">
        <v>0</v>
      </c>
      <c r="J118" s="71">
        <v>41.071</v>
      </c>
      <c r="K118" s="224">
        <f t="shared" si="10"/>
        <v>41.071</v>
      </c>
      <c r="L118" s="169"/>
      <c r="M118" s="215"/>
      <c r="N118" s="202"/>
      <c r="O118" s="107"/>
      <c r="P118" s="71">
        <v>41.071</v>
      </c>
      <c r="Q118" s="169"/>
      <c r="R118" s="169"/>
      <c r="S118" s="169"/>
      <c r="T118" s="169"/>
      <c r="U118" s="169"/>
      <c r="V118" s="169"/>
      <c r="W118" s="98"/>
      <c r="X118" s="98"/>
      <c r="Y118" s="98"/>
      <c r="Z118" s="98"/>
      <c r="AA118" s="98"/>
      <c r="AB118" s="98"/>
    </row>
    <row r="119" spans="1:28" s="13" customFormat="1" ht="15">
      <c r="A119" s="217">
        <v>7.89285714285714</v>
      </c>
      <c r="B119" s="167"/>
      <c r="C119" s="28" t="s">
        <v>176</v>
      </c>
      <c r="D119" s="165" t="s">
        <v>33</v>
      </c>
      <c r="E119" s="102">
        <v>7</v>
      </c>
      <c r="F119" s="102">
        <v>7</v>
      </c>
      <c r="G119" s="168"/>
      <c r="H119" s="169"/>
      <c r="I119" s="71">
        <v>214.284</v>
      </c>
      <c r="J119" s="71">
        <v>214.284</v>
      </c>
      <c r="K119" s="224">
        <f t="shared" si="10"/>
        <v>0</v>
      </c>
      <c r="L119" s="169"/>
      <c r="M119" s="214"/>
      <c r="N119" s="139"/>
      <c r="O119" s="107"/>
      <c r="P119" s="71">
        <v>214.284</v>
      </c>
      <c r="Q119" s="169"/>
      <c r="R119" s="169"/>
      <c r="S119" s="169"/>
      <c r="T119" s="169"/>
      <c r="U119" s="169"/>
      <c r="V119" s="169"/>
      <c r="W119" s="98"/>
      <c r="X119" s="98"/>
      <c r="Y119" s="98"/>
      <c r="Z119" s="98"/>
      <c r="AA119" s="98"/>
      <c r="AB119" s="98"/>
    </row>
    <row r="120" spans="1:28" s="13" customFormat="1" ht="27">
      <c r="A120" s="217">
        <v>8.57142857142857</v>
      </c>
      <c r="B120" s="98"/>
      <c r="C120" s="28" t="s">
        <v>177</v>
      </c>
      <c r="D120" s="165" t="s">
        <v>168</v>
      </c>
      <c r="E120" s="102">
        <v>1</v>
      </c>
      <c r="F120" s="102">
        <v>1</v>
      </c>
      <c r="G120" s="125"/>
      <c r="H120" s="98"/>
      <c r="I120" s="71">
        <v>1030.331</v>
      </c>
      <c r="J120" s="71">
        <v>1030.331</v>
      </c>
      <c r="K120" s="224">
        <f t="shared" si="10"/>
        <v>0</v>
      </c>
      <c r="L120" s="98"/>
      <c r="M120" s="213"/>
      <c r="N120" s="137"/>
      <c r="O120" s="107"/>
      <c r="P120" s="71">
        <v>1030.331</v>
      </c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</row>
    <row r="121" spans="1:28" s="13" customFormat="1" ht="15" hidden="1">
      <c r="A121" s="217">
        <v>9.25</v>
      </c>
      <c r="B121" s="98"/>
      <c r="C121" s="28" t="s">
        <v>206</v>
      </c>
      <c r="D121" s="165" t="s">
        <v>33</v>
      </c>
      <c r="E121" s="102">
        <v>0</v>
      </c>
      <c r="F121" s="102">
        <v>1</v>
      </c>
      <c r="G121" s="125"/>
      <c r="H121" s="98"/>
      <c r="I121" s="71">
        <v>0</v>
      </c>
      <c r="J121" s="71">
        <v>114</v>
      </c>
      <c r="K121" s="224">
        <f t="shared" si="10"/>
        <v>114</v>
      </c>
      <c r="L121" s="98"/>
      <c r="M121" s="213"/>
      <c r="N121" s="137"/>
      <c r="O121" s="107"/>
      <c r="P121" s="71">
        <v>114</v>
      </c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</row>
    <row r="122" spans="1:28" s="13" customFormat="1" ht="15" hidden="1">
      <c r="A122" s="217">
        <v>9.92857142857143</v>
      </c>
      <c r="B122" s="98"/>
      <c r="C122" s="28" t="s">
        <v>207</v>
      </c>
      <c r="D122" s="165" t="s">
        <v>33</v>
      </c>
      <c r="E122" s="102">
        <v>0</v>
      </c>
      <c r="F122" s="102">
        <v>1</v>
      </c>
      <c r="G122" s="125"/>
      <c r="H122" s="98"/>
      <c r="I122" s="71">
        <v>0</v>
      </c>
      <c r="J122" s="71">
        <v>109.175</v>
      </c>
      <c r="K122" s="224">
        <f t="shared" si="10"/>
        <v>109.175</v>
      </c>
      <c r="L122" s="98"/>
      <c r="M122" s="213"/>
      <c r="N122" s="137"/>
      <c r="O122" s="107"/>
      <c r="P122" s="71">
        <v>109.175</v>
      </c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</row>
    <row r="123" spans="1:28" s="13" customFormat="1" ht="15">
      <c r="A123" s="217">
        <v>10</v>
      </c>
      <c r="B123" s="98"/>
      <c r="C123" s="28" t="s">
        <v>178</v>
      </c>
      <c r="D123" s="165" t="s">
        <v>33</v>
      </c>
      <c r="E123" s="102">
        <v>1</v>
      </c>
      <c r="F123" s="102">
        <v>1</v>
      </c>
      <c r="G123" s="125"/>
      <c r="H123" s="98"/>
      <c r="I123" s="71">
        <v>627.776</v>
      </c>
      <c r="J123" s="71">
        <v>627.776</v>
      </c>
      <c r="K123" s="224">
        <f t="shared" si="10"/>
        <v>0</v>
      </c>
      <c r="L123" s="98"/>
      <c r="M123" s="213"/>
      <c r="N123" s="137"/>
      <c r="O123" s="107"/>
      <c r="P123" s="71">
        <v>627.776</v>
      </c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</row>
    <row r="124" spans="1:28" s="13" customFormat="1" ht="15">
      <c r="A124" s="217">
        <v>11.2857142857143</v>
      </c>
      <c r="B124" s="98"/>
      <c r="C124" s="28" t="s">
        <v>179</v>
      </c>
      <c r="D124" s="165" t="s">
        <v>33</v>
      </c>
      <c r="E124" s="102">
        <v>2</v>
      </c>
      <c r="F124" s="102">
        <v>2</v>
      </c>
      <c r="G124" s="125"/>
      <c r="H124" s="98"/>
      <c r="I124" s="71">
        <v>357.1</v>
      </c>
      <c r="J124" s="71">
        <v>357.1</v>
      </c>
      <c r="K124" s="224">
        <f t="shared" si="10"/>
        <v>0</v>
      </c>
      <c r="L124" s="98"/>
      <c r="M124" s="213"/>
      <c r="N124" s="137"/>
      <c r="O124" s="107"/>
      <c r="P124" s="71">
        <v>357.1</v>
      </c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</row>
    <row r="125" spans="1:28" s="13" customFormat="1" ht="15">
      <c r="A125" s="217">
        <v>11.9642857142858</v>
      </c>
      <c r="B125" s="98"/>
      <c r="C125" s="28" t="s">
        <v>180</v>
      </c>
      <c r="D125" s="165" t="s">
        <v>33</v>
      </c>
      <c r="E125" s="102">
        <v>1</v>
      </c>
      <c r="F125" s="102">
        <v>1</v>
      </c>
      <c r="G125" s="125"/>
      <c r="H125" s="98"/>
      <c r="I125" s="71">
        <v>1700</v>
      </c>
      <c r="J125" s="71">
        <v>1700</v>
      </c>
      <c r="K125" s="224">
        <f t="shared" si="10"/>
        <v>0</v>
      </c>
      <c r="L125" s="98"/>
      <c r="M125" s="213"/>
      <c r="N125" s="137"/>
      <c r="O125" s="107"/>
      <c r="P125" s="71">
        <v>1700</v>
      </c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</row>
    <row r="126" spans="1:28" s="13" customFormat="1" ht="15">
      <c r="A126" s="217">
        <v>12.6428571428572</v>
      </c>
      <c r="B126" s="98"/>
      <c r="C126" s="28" t="s">
        <v>186</v>
      </c>
      <c r="D126" s="165" t="s">
        <v>33</v>
      </c>
      <c r="E126" s="102">
        <v>4</v>
      </c>
      <c r="F126" s="102">
        <v>4</v>
      </c>
      <c r="G126" s="125"/>
      <c r="H126" s="98"/>
      <c r="I126" s="71">
        <v>664</v>
      </c>
      <c r="J126" s="71">
        <v>664</v>
      </c>
      <c r="K126" s="224">
        <f t="shared" si="10"/>
        <v>0</v>
      </c>
      <c r="L126" s="98"/>
      <c r="M126" s="213"/>
      <c r="N126" s="137"/>
      <c r="O126" s="107"/>
      <c r="P126" s="71">
        <v>664</v>
      </c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</row>
    <row r="127" spans="1:28" s="13" customFormat="1" ht="15" hidden="1">
      <c r="A127" s="217">
        <v>13.3214285714286</v>
      </c>
      <c r="B127" s="98"/>
      <c r="C127" s="28" t="s">
        <v>208</v>
      </c>
      <c r="D127" s="165" t="s">
        <v>33</v>
      </c>
      <c r="E127" s="102">
        <v>0</v>
      </c>
      <c r="F127" s="102">
        <v>1</v>
      </c>
      <c r="G127" s="125"/>
      <c r="H127" s="98"/>
      <c r="I127" s="71">
        <v>0</v>
      </c>
      <c r="J127" s="71">
        <v>793.286</v>
      </c>
      <c r="K127" s="224">
        <f t="shared" si="10"/>
        <v>793.286</v>
      </c>
      <c r="L127" s="98"/>
      <c r="M127" s="213"/>
      <c r="N127" s="137"/>
      <c r="O127" s="107"/>
      <c r="P127" s="71">
        <v>793.286</v>
      </c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</row>
    <row r="128" spans="1:28" s="13" customFormat="1" ht="15" hidden="1">
      <c r="A128" s="217">
        <v>14</v>
      </c>
      <c r="B128" s="98"/>
      <c r="C128" s="28" t="s">
        <v>209</v>
      </c>
      <c r="D128" s="165" t="s">
        <v>33</v>
      </c>
      <c r="E128" s="102">
        <v>0</v>
      </c>
      <c r="F128" s="102">
        <v>1</v>
      </c>
      <c r="G128" s="125"/>
      <c r="H128" s="98"/>
      <c r="I128" s="71">
        <v>0</v>
      </c>
      <c r="J128" s="71">
        <v>64.286</v>
      </c>
      <c r="K128" s="224">
        <f t="shared" si="10"/>
        <v>64.286</v>
      </c>
      <c r="L128" s="98"/>
      <c r="M128" s="213"/>
      <c r="N128" s="137"/>
      <c r="O128" s="107"/>
      <c r="P128" s="71">
        <v>64.286</v>
      </c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</row>
    <row r="129" spans="1:28" s="13" customFormat="1" ht="15" hidden="1">
      <c r="A129" s="217">
        <v>14.6785714285715</v>
      </c>
      <c r="B129" s="98"/>
      <c r="C129" s="28" t="s">
        <v>210</v>
      </c>
      <c r="D129" s="165" t="s">
        <v>33</v>
      </c>
      <c r="E129" s="102">
        <v>0</v>
      </c>
      <c r="F129" s="102">
        <v>1</v>
      </c>
      <c r="G129" s="125"/>
      <c r="H129" s="98"/>
      <c r="I129" s="71">
        <v>0</v>
      </c>
      <c r="J129" s="71">
        <v>245.536</v>
      </c>
      <c r="K129" s="224">
        <f t="shared" si="10"/>
        <v>245.536</v>
      </c>
      <c r="L129" s="98"/>
      <c r="M129" s="213"/>
      <c r="N129" s="137"/>
      <c r="O129" s="107"/>
      <c r="P129" s="71">
        <v>245.536</v>
      </c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</row>
    <row r="130" spans="1:28" s="13" customFormat="1" ht="15">
      <c r="A130" s="217">
        <v>14</v>
      </c>
      <c r="B130" s="98"/>
      <c r="C130" s="28" t="s">
        <v>181</v>
      </c>
      <c r="D130" s="165" t="s">
        <v>33</v>
      </c>
      <c r="E130" s="102">
        <v>10</v>
      </c>
      <c r="F130" s="102">
        <v>10</v>
      </c>
      <c r="G130" s="125"/>
      <c r="H130" s="98"/>
      <c r="I130" s="71">
        <v>2862.936</v>
      </c>
      <c r="J130" s="71">
        <v>2862.936</v>
      </c>
      <c r="K130" s="224">
        <f t="shared" si="10"/>
        <v>0</v>
      </c>
      <c r="L130" s="98"/>
      <c r="M130" s="213"/>
      <c r="N130" s="137"/>
      <c r="O130" s="107"/>
      <c r="P130" s="71">
        <v>2862.936</v>
      </c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</row>
    <row r="131" spans="1:28" s="13" customFormat="1" ht="15" hidden="1">
      <c r="A131" s="217">
        <v>16.0357142857143</v>
      </c>
      <c r="B131" s="98"/>
      <c r="C131" s="28" t="s">
        <v>211</v>
      </c>
      <c r="D131" s="165" t="s">
        <v>33</v>
      </c>
      <c r="E131" s="102">
        <v>0</v>
      </c>
      <c r="F131" s="102">
        <v>2</v>
      </c>
      <c r="G131" s="125"/>
      <c r="H131" s="98"/>
      <c r="I131" s="71">
        <v>0</v>
      </c>
      <c r="J131" s="71">
        <f>188+188</f>
        <v>376</v>
      </c>
      <c r="K131" s="224">
        <f t="shared" si="10"/>
        <v>376</v>
      </c>
      <c r="L131" s="98"/>
      <c r="M131" s="213"/>
      <c r="N131" s="137"/>
      <c r="O131" s="107"/>
      <c r="P131" s="71">
        <v>376</v>
      </c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</row>
    <row r="132" spans="1:28" s="13" customFormat="1" ht="15" hidden="1">
      <c r="A132" s="217">
        <v>16.7142857142858</v>
      </c>
      <c r="B132" s="98"/>
      <c r="C132" s="28" t="s">
        <v>212</v>
      </c>
      <c r="D132" s="165" t="s">
        <v>33</v>
      </c>
      <c r="E132" s="102">
        <v>0</v>
      </c>
      <c r="F132" s="102">
        <v>1</v>
      </c>
      <c r="G132" s="125"/>
      <c r="H132" s="98"/>
      <c r="I132" s="71">
        <v>0</v>
      </c>
      <c r="J132" s="71">
        <v>16.071</v>
      </c>
      <c r="K132" s="224">
        <f t="shared" si="10"/>
        <v>16.071</v>
      </c>
      <c r="L132" s="98"/>
      <c r="M132" s="213"/>
      <c r="N132" s="137"/>
      <c r="O132" s="107"/>
      <c r="P132" s="71">
        <v>16.071</v>
      </c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</row>
    <row r="133" spans="1:28" s="13" customFormat="1" ht="15">
      <c r="A133" s="217">
        <v>15</v>
      </c>
      <c r="B133" s="98"/>
      <c r="C133" s="28" t="s">
        <v>182</v>
      </c>
      <c r="D133" s="165" t="s">
        <v>33</v>
      </c>
      <c r="E133" s="102">
        <v>1</v>
      </c>
      <c r="F133" s="102">
        <v>1</v>
      </c>
      <c r="G133" s="125"/>
      <c r="H133" s="98"/>
      <c r="I133" s="71">
        <v>235</v>
      </c>
      <c r="J133" s="71">
        <v>235</v>
      </c>
      <c r="K133" s="224">
        <f t="shared" si="10"/>
        <v>0</v>
      </c>
      <c r="L133" s="98"/>
      <c r="M133" s="213"/>
      <c r="N133" s="137"/>
      <c r="O133" s="107"/>
      <c r="P133" s="71">
        <v>235</v>
      </c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</row>
    <row r="134" spans="1:28" s="13" customFormat="1" ht="15" hidden="1">
      <c r="A134" s="217">
        <v>18.0714285714286</v>
      </c>
      <c r="B134" s="98"/>
      <c r="C134" s="28" t="s">
        <v>213</v>
      </c>
      <c r="D134" s="165" t="s">
        <v>33</v>
      </c>
      <c r="E134" s="102">
        <v>0</v>
      </c>
      <c r="F134" s="102">
        <v>1</v>
      </c>
      <c r="G134" s="125"/>
      <c r="H134" s="98"/>
      <c r="I134" s="71">
        <v>0</v>
      </c>
      <c r="J134" s="71">
        <v>95.536</v>
      </c>
      <c r="K134" s="224">
        <f t="shared" si="10"/>
        <v>95.536</v>
      </c>
      <c r="L134" s="98"/>
      <c r="M134" s="213"/>
      <c r="N134" s="137"/>
      <c r="O134" s="107"/>
      <c r="P134" s="71">
        <v>95.536</v>
      </c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</row>
    <row r="135" spans="1:28" s="13" customFormat="1" ht="15">
      <c r="A135" s="217">
        <v>16</v>
      </c>
      <c r="B135" s="98"/>
      <c r="C135" s="28" t="s">
        <v>183</v>
      </c>
      <c r="D135" s="165" t="s">
        <v>33</v>
      </c>
      <c r="E135" s="102">
        <v>2</v>
      </c>
      <c r="F135" s="102">
        <v>2</v>
      </c>
      <c r="G135" s="125"/>
      <c r="H135" s="98"/>
      <c r="I135" s="71">
        <v>52.679</v>
      </c>
      <c r="J135" s="71">
        <v>52.679</v>
      </c>
      <c r="K135" s="224">
        <f t="shared" si="10"/>
        <v>0</v>
      </c>
      <c r="L135" s="98"/>
      <c r="M135" s="213"/>
      <c r="N135" s="137"/>
      <c r="O135" s="107"/>
      <c r="P135" s="71">
        <v>52.679</v>
      </c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</row>
    <row r="136" spans="1:28" s="13" customFormat="1" ht="15" hidden="1">
      <c r="A136" s="217">
        <v>19.4285714285715</v>
      </c>
      <c r="B136" s="98"/>
      <c r="C136" s="28" t="s">
        <v>214</v>
      </c>
      <c r="D136" s="165" t="s">
        <v>33</v>
      </c>
      <c r="E136" s="102">
        <v>0</v>
      </c>
      <c r="F136" s="102">
        <v>1</v>
      </c>
      <c r="G136" s="125"/>
      <c r="H136" s="98"/>
      <c r="I136" s="71">
        <v>0</v>
      </c>
      <c r="J136" s="71">
        <v>100.804</v>
      </c>
      <c r="K136" s="224">
        <f t="shared" si="10"/>
        <v>100.804</v>
      </c>
      <c r="L136" s="98"/>
      <c r="M136" s="213"/>
      <c r="N136" s="137"/>
      <c r="O136" s="107"/>
      <c r="P136" s="71">
        <v>100.804</v>
      </c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</row>
    <row r="137" spans="1:28" s="13" customFormat="1" ht="15" hidden="1">
      <c r="A137" s="217">
        <v>20.1071428571429</v>
      </c>
      <c r="B137" s="98"/>
      <c r="C137" s="28" t="s">
        <v>215</v>
      </c>
      <c r="D137" s="165" t="s">
        <v>33</v>
      </c>
      <c r="E137" s="102">
        <v>0</v>
      </c>
      <c r="F137" s="102">
        <v>1</v>
      </c>
      <c r="G137" s="125"/>
      <c r="H137" s="98"/>
      <c r="I137" s="71">
        <v>0</v>
      </c>
      <c r="J137" s="71">
        <v>71.339</v>
      </c>
      <c r="K137" s="224">
        <f t="shared" si="10"/>
        <v>71.339</v>
      </c>
      <c r="L137" s="98"/>
      <c r="M137" s="213"/>
      <c r="N137" s="137"/>
      <c r="O137" s="107"/>
      <c r="P137" s="71">
        <v>71.339</v>
      </c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</row>
    <row r="138" spans="1:28" s="13" customFormat="1" ht="15" hidden="1">
      <c r="A138" s="217">
        <v>20.7857142857143</v>
      </c>
      <c r="B138" s="98"/>
      <c r="C138" s="28" t="s">
        <v>211</v>
      </c>
      <c r="D138" s="165" t="s">
        <v>33</v>
      </c>
      <c r="E138" s="102">
        <v>0</v>
      </c>
      <c r="F138" s="102">
        <v>1</v>
      </c>
      <c r="G138" s="125"/>
      <c r="H138" s="98"/>
      <c r="I138" s="71">
        <v>0</v>
      </c>
      <c r="J138" s="71">
        <v>250.182</v>
      </c>
      <c r="K138" s="224">
        <f t="shared" si="10"/>
        <v>250.182</v>
      </c>
      <c r="L138" s="98"/>
      <c r="M138" s="213"/>
      <c r="N138" s="137"/>
      <c r="O138" s="107"/>
      <c r="P138" s="71">
        <v>250.182</v>
      </c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</row>
    <row r="139" spans="1:28" s="13" customFormat="1" ht="15">
      <c r="A139" s="217">
        <v>17</v>
      </c>
      <c r="B139" s="98"/>
      <c r="C139" s="28" t="s">
        <v>184</v>
      </c>
      <c r="D139" s="165" t="s">
        <v>33</v>
      </c>
      <c r="E139" s="102">
        <v>1</v>
      </c>
      <c r="F139" s="102">
        <v>1</v>
      </c>
      <c r="G139" s="125"/>
      <c r="H139" s="98"/>
      <c r="I139" s="71">
        <v>486.9</v>
      </c>
      <c r="J139" s="71">
        <v>486.9</v>
      </c>
      <c r="K139" s="224">
        <f t="shared" si="10"/>
        <v>0</v>
      </c>
      <c r="L139" s="98"/>
      <c r="M139" s="213"/>
      <c r="N139" s="137"/>
      <c r="O139" s="107"/>
      <c r="P139" s="71">
        <v>486.9</v>
      </c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</row>
    <row r="140" spans="1:28" s="13" customFormat="1" ht="15" customHeight="1" hidden="1">
      <c r="A140" s="217">
        <v>22.1428571428572</v>
      </c>
      <c r="B140" s="98"/>
      <c r="C140" s="28" t="s">
        <v>266</v>
      </c>
      <c r="D140" s="165" t="s">
        <v>33</v>
      </c>
      <c r="E140" s="102">
        <v>0</v>
      </c>
      <c r="F140" s="102">
        <v>1</v>
      </c>
      <c r="G140" s="125"/>
      <c r="H140" s="98"/>
      <c r="I140" s="71">
        <v>0</v>
      </c>
      <c r="J140" s="71">
        <v>1321.429</v>
      </c>
      <c r="K140" s="224">
        <f t="shared" si="10"/>
        <v>1321.429</v>
      </c>
      <c r="L140" s="98"/>
      <c r="M140" s="213"/>
      <c r="N140" s="137"/>
      <c r="O140" s="107"/>
      <c r="P140" s="71">
        <v>1321.429</v>
      </c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</row>
    <row r="141" spans="1:28" s="13" customFormat="1" ht="18" customHeight="1" hidden="1">
      <c r="A141" s="217">
        <v>22.8214285714286</v>
      </c>
      <c r="B141" s="98"/>
      <c r="C141" s="28" t="s">
        <v>211</v>
      </c>
      <c r="D141" s="165" t="s">
        <v>33</v>
      </c>
      <c r="E141" s="102">
        <v>0</v>
      </c>
      <c r="F141" s="102">
        <v>1</v>
      </c>
      <c r="G141" s="125"/>
      <c r="H141" s="98"/>
      <c r="I141" s="71">
        <v>0</v>
      </c>
      <c r="J141" s="71">
        <v>235</v>
      </c>
      <c r="K141" s="224">
        <f t="shared" si="10"/>
        <v>235</v>
      </c>
      <c r="L141" s="98"/>
      <c r="M141" s="213"/>
      <c r="N141" s="137"/>
      <c r="O141" s="107"/>
      <c r="P141" s="71">
        <v>235</v>
      </c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</row>
    <row r="142" spans="1:28" s="13" customFormat="1" ht="18" customHeight="1" hidden="1">
      <c r="A142" s="217">
        <v>23.5</v>
      </c>
      <c r="B142" s="98"/>
      <c r="C142" s="28" t="s">
        <v>216</v>
      </c>
      <c r="D142" s="165" t="s">
        <v>33</v>
      </c>
      <c r="E142" s="102">
        <v>0</v>
      </c>
      <c r="F142" s="102">
        <v>1</v>
      </c>
      <c r="G142" s="125"/>
      <c r="H142" s="98"/>
      <c r="I142" s="71">
        <v>0</v>
      </c>
      <c r="J142" s="71">
        <v>750</v>
      </c>
      <c r="K142" s="224">
        <f t="shared" si="10"/>
        <v>750</v>
      </c>
      <c r="L142" s="98"/>
      <c r="M142" s="213"/>
      <c r="N142" s="137"/>
      <c r="O142" s="107"/>
      <c r="P142" s="71">
        <v>750</v>
      </c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</row>
    <row r="143" spans="1:28" s="13" customFormat="1" ht="18" customHeight="1" hidden="1">
      <c r="A143" s="217">
        <v>24.1785714285715</v>
      </c>
      <c r="B143" s="98"/>
      <c r="C143" s="28" t="s">
        <v>217</v>
      </c>
      <c r="D143" s="165" t="s">
        <v>33</v>
      </c>
      <c r="E143" s="102">
        <v>0</v>
      </c>
      <c r="F143" s="102">
        <v>1</v>
      </c>
      <c r="G143" s="125"/>
      <c r="H143" s="98"/>
      <c r="I143" s="71">
        <v>0</v>
      </c>
      <c r="J143" s="71">
        <v>230</v>
      </c>
      <c r="K143" s="224">
        <f t="shared" si="10"/>
        <v>230</v>
      </c>
      <c r="L143" s="98"/>
      <c r="M143" s="213"/>
      <c r="N143" s="137"/>
      <c r="O143" s="107"/>
      <c r="P143" s="71">
        <v>230</v>
      </c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</row>
    <row r="144" spans="1:28" s="13" customFormat="1" ht="15">
      <c r="A144" s="217">
        <v>18</v>
      </c>
      <c r="B144" s="98"/>
      <c r="C144" s="28" t="s">
        <v>185</v>
      </c>
      <c r="D144" s="165" t="s">
        <v>33</v>
      </c>
      <c r="E144" s="102">
        <v>2</v>
      </c>
      <c r="F144" s="102">
        <v>2</v>
      </c>
      <c r="G144" s="125"/>
      <c r="H144" s="98"/>
      <c r="I144" s="71">
        <v>540</v>
      </c>
      <c r="J144" s="71">
        <v>540</v>
      </c>
      <c r="K144" s="224">
        <f t="shared" si="10"/>
        <v>0</v>
      </c>
      <c r="L144" s="98"/>
      <c r="M144" s="213"/>
      <c r="N144" s="137"/>
      <c r="O144" s="107"/>
      <c r="P144" s="71">
        <v>540</v>
      </c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</row>
    <row r="145" spans="1:28" s="13" customFormat="1" ht="27">
      <c r="A145" s="217">
        <v>19</v>
      </c>
      <c r="B145" s="98"/>
      <c r="C145" s="28" t="s">
        <v>187</v>
      </c>
      <c r="D145" s="165" t="s">
        <v>33</v>
      </c>
      <c r="E145" s="102">
        <v>1</v>
      </c>
      <c r="F145" s="102">
        <v>1</v>
      </c>
      <c r="G145" s="125"/>
      <c r="H145" s="98"/>
      <c r="I145" s="71">
        <v>2670</v>
      </c>
      <c r="J145" s="71">
        <v>2670</v>
      </c>
      <c r="K145" s="224">
        <f t="shared" si="10"/>
        <v>0</v>
      </c>
      <c r="L145" s="98"/>
      <c r="M145" s="213"/>
      <c r="N145" s="137"/>
      <c r="O145" s="107"/>
      <c r="P145" s="71">
        <v>2670</v>
      </c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</row>
    <row r="146" spans="1:28" s="13" customFormat="1" ht="15" hidden="1">
      <c r="A146" s="164">
        <v>38</v>
      </c>
      <c r="B146" s="98"/>
      <c r="C146" s="28" t="s">
        <v>218</v>
      </c>
      <c r="D146" s="165" t="s">
        <v>33</v>
      </c>
      <c r="E146" s="102">
        <v>0</v>
      </c>
      <c r="F146" s="102">
        <v>1</v>
      </c>
      <c r="G146" s="125"/>
      <c r="H146" s="98"/>
      <c r="I146" s="71">
        <v>0</v>
      </c>
      <c r="J146" s="71">
        <v>269.492</v>
      </c>
      <c r="K146" s="112">
        <f t="shared" si="10"/>
        <v>269.492</v>
      </c>
      <c r="L146" s="98"/>
      <c r="M146" s="213"/>
      <c r="N146" s="137"/>
      <c r="O146" s="107"/>
      <c r="P146" s="71">
        <v>269.492</v>
      </c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</row>
    <row r="147" spans="1:28" s="13" customFormat="1" ht="15" hidden="1">
      <c r="A147" s="164">
        <v>39</v>
      </c>
      <c r="B147" s="98"/>
      <c r="C147" s="28" t="s">
        <v>219</v>
      </c>
      <c r="D147" s="165" t="s">
        <v>33</v>
      </c>
      <c r="E147" s="102">
        <v>0</v>
      </c>
      <c r="F147" s="102">
        <v>1</v>
      </c>
      <c r="G147" s="125"/>
      <c r="H147" s="98"/>
      <c r="I147" s="71">
        <v>0</v>
      </c>
      <c r="J147" s="71">
        <v>448</v>
      </c>
      <c r="K147" s="112">
        <f t="shared" si="10"/>
        <v>448</v>
      </c>
      <c r="L147" s="98"/>
      <c r="M147" s="213"/>
      <c r="N147" s="137"/>
      <c r="O147" s="107"/>
      <c r="P147" s="71">
        <v>448</v>
      </c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</row>
    <row r="148" spans="1:28" s="13" customFormat="1" ht="15" hidden="1">
      <c r="A148" s="164">
        <v>40</v>
      </c>
      <c r="B148" s="98"/>
      <c r="C148" s="28" t="s">
        <v>172</v>
      </c>
      <c r="D148" s="165" t="s">
        <v>33</v>
      </c>
      <c r="E148" s="102">
        <v>0</v>
      </c>
      <c r="F148" s="102">
        <v>1</v>
      </c>
      <c r="G148" s="125"/>
      <c r="H148" s="98"/>
      <c r="I148" s="71">
        <v>0</v>
      </c>
      <c r="J148" s="71">
        <v>315.7</v>
      </c>
      <c r="K148" s="112">
        <f t="shared" si="10"/>
        <v>315.7</v>
      </c>
      <c r="L148" s="98"/>
      <c r="M148" s="213"/>
      <c r="N148" s="137"/>
      <c r="O148" s="107"/>
      <c r="P148" s="71">
        <v>315.7</v>
      </c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</row>
    <row r="149" spans="1:28" s="13" customFormat="1" ht="15" hidden="1">
      <c r="A149" s="164">
        <v>41</v>
      </c>
      <c r="B149" s="98"/>
      <c r="C149" s="28" t="s">
        <v>220</v>
      </c>
      <c r="D149" s="165" t="s">
        <v>33</v>
      </c>
      <c r="E149" s="102">
        <v>0</v>
      </c>
      <c r="F149" s="102">
        <v>1</v>
      </c>
      <c r="G149" s="125"/>
      <c r="H149" s="98"/>
      <c r="I149" s="71">
        <v>0</v>
      </c>
      <c r="J149" s="71">
        <v>91.518</v>
      </c>
      <c r="K149" s="112">
        <f t="shared" si="10"/>
        <v>91.518</v>
      </c>
      <c r="L149" s="98"/>
      <c r="M149" s="213"/>
      <c r="N149" s="137"/>
      <c r="O149" s="107"/>
      <c r="P149" s="71">
        <v>91.518</v>
      </c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</row>
    <row r="150" spans="1:28" s="13" customFormat="1" ht="15" hidden="1">
      <c r="A150" s="164">
        <v>42</v>
      </c>
      <c r="B150" s="98"/>
      <c r="C150" s="28" t="s">
        <v>181</v>
      </c>
      <c r="D150" s="165" t="s">
        <v>33</v>
      </c>
      <c r="E150" s="102">
        <v>0</v>
      </c>
      <c r="F150" s="102">
        <v>2</v>
      </c>
      <c r="G150" s="125"/>
      <c r="H150" s="98"/>
      <c r="I150" s="71">
        <v>0</v>
      </c>
      <c r="J150" s="71">
        <f>183.918+183.918</f>
        <v>367.836</v>
      </c>
      <c r="K150" s="112">
        <f t="shared" si="10"/>
        <v>367.836</v>
      </c>
      <c r="L150" s="98"/>
      <c r="M150" s="213"/>
      <c r="N150" s="137"/>
      <c r="O150" s="107"/>
      <c r="P150" s="71">
        <v>367.836</v>
      </c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</row>
    <row r="151" spans="1:28" s="13" customFormat="1" ht="15" hidden="1">
      <c r="A151" s="164">
        <v>43</v>
      </c>
      <c r="B151" s="98"/>
      <c r="C151" s="28" t="s">
        <v>221</v>
      </c>
      <c r="D151" s="165" t="s">
        <v>33</v>
      </c>
      <c r="E151" s="102">
        <v>0</v>
      </c>
      <c r="F151" s="102">
        <v>10</v>
      </c>
      <c r="G151" s="125"/>
      <c r="H151" s="98"/>
      <c r="I151" s="71">
        <v>0</v>
      </c>
      <c r="J151" s="71">
        <v>1499.9</v>
      </c>
      <c r="K151" s="112">
        <f t="shared" si="10"/>
        <v>1499.9</v>
      </c>
      <c r="L151" s="98"/>
      <c r="M151" s="213"/>
      <c r="N151" s="137"/>
      <c r="O151" s="107"/>
      <c r="P151" s="71">
        <v>1499.9</v>
      </c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</row>
    <row r="152" spans="1:28" s="13" customFormat="1" ht="15" hidden="1">
      <c r="A152" s="164">
        <v>44</v>
      </c>
      <c r="B152" s="98"/>
      <c r="C152" s="28" t="s">
        <v>222</v>
      </c>
      <c r="D152" s="165" t="s">
        <v>33</v>
      </c>
      <c r="E152" s="102">
        <v>0</v>
      </c>
      <c r="F152" s="102">
        <v>3</v>
      </c>
      <c r="G152" s="125"/>
      <c r="H152" s="98"/>
      <c r="I152" s="71">
        <v>0</v>
      </c>
      <c r="J152" s="71">
        <v>350.571</v>
      </c>
      <c r="K152" s="112">
        <f t="shared" si="10"/>
        <v>350.571</v>
      </c>
      <c r="L152" s="98"/>
      <c r="M152" s="213"/>
      <c r="N152" s="137"/>
      <c r="O152" s="107"/>
      <c r="P152" s="71">
        <v>350.571</v>
      </c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</row>
    <row r="153" spans="1:28" s="13" customFormat="1" ht="27">
      <c r="A153" s="164"/>
      <c r="B153" s="98"/>
      <c r="C153" s="216" t="s">
        <v>291</v>
      </c>
      <c r="D153" s="165"/>
      <c r="E153" s="102"/>
      <c r="F153" s="102"/>
      <c r="G153" s="125"/>
      <c r="H153" s="98"/>
      <c r="I153" s="71">
        <v>0</v>
      </c>
      <c r="J153" s="71">
        <v>8479</v>
      </c>
      <c r="K153" s="112">
        <f t="shared" si="10"/>
        <v>8479</v>
      </c>
      <c r="L153" s="98"/>
      <c r="M153" s="213"/>
      <c r="N153" s="137"/>
      <c r="O153" s="107"/>
      <c r="P153" s="71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</row>
    <row r="154" spans="1:28" s="79" customFormat="1" ht="33" customHeight="1">
      <c r="A154" s="170">
        <v>6</v>
      </c>
      <c r="B154" s="163"/>
      <c r="C154" s="171" t="s">
        <v>50</v>
      </c>
      <c r="D154" s="172"/>
      <c r="E154" s="170"/>
      <c r="F154" s="170"/>
      <c r="G154" s="173"/>
      <c r="H154" s="163"/>
      <c r="I154" s="174">
        <f>SUM(I162:I163)</f>
        <v>1043.809</v>
      </c>
      <c r="J154" s="174">
        <f>SUM(J155:J170)</f>
        <v>8289.769999999999</v>
      </c>
      <c r="K154" s="112">
        <f t="shared" si="10"/>
        <v>7245.960999999998</v>
      </c>
      <c r="L154" s="163"/>
      <c r="M154" s="211">
        <v>8290</v>
      </c>
      <c r="N154" s="136"/>
      <c r="O154" s="174"/>
      <c r="P154" s="118">
        <v>8289.769999999999</v>
      </c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</row>
    <row r="155" spans="1:28" s="79" customFormat="1" ht="15" hidden="1">
      <c r="A155" s="113">
        <v>1</v>
      </c>
      <c r="B155" s="163"/>
      <c r="C155" s="26" t="s">
        <v>223</v>
      </c>
      <c r="D155" s="175" t="s">
        <v>33</v>
      </c>
      <c r="E155" s="176">
        <v>0</v>
      </c>
      <c r="F155" s="176">
        <v>1</v>
      </c>
      <c r="G155" s="177"/>
      <c r="H155" s="178"/>
      <c r="I155" s="118">
        <v>0</v>
      </c>
      <c r="J155" s="118">
        <v>31.25</v>
      </c>
      <c r="K155" s="112">
        <f t="shared" si="10"/>
        <v>31.25</v>
      </c>
      <c r="L155" s="163"/>
      <c r="M155" s="211"/>
      <c r="N155" s="136"/>
      <c r="O155" s="174"/>
      <c r="P155" s="118">
        <v>31.25</v>
      </c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</row>
    <row r="156" spans="1:28" s="79" customFormat="1" ht="15" hidden="1">
      <c r="A156" s="113">
        <v>2</v>
      </c>
      <c r="B156" s="163"/>
      <c r="C156" s="26" t="s">
        <v>224</v>
      </c>
      <c r="D156" s="175" t="s">
        <v>33</v>
      </c>
      <c r="E156" s="176">
        <v>0</v>
      </c>
      <c r="F156" s="176">
        <v>1</v>
      </c>
      <c r="G156" s="177"/>
      <c r="H156" s="178"/>
      <c r="I156" s="118">
        <v>0</v>
      </c>
      <c r="J156" s="118">
        <v>318.9</v>
      </c>
      <c r="K156" s="112">
        <f t="shared" si="10"/>
        <v>318.9</v>
      </c>
      <c r="L156" s="163"/>
      <c r="M156" s="211"/>
      <c r="N156" s="136"/>
      <c r="O156" s="174"/>
      <c r="P156" s="118">
        <v>318.9</v>
      </c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</row>
    <row r="157" spans="1:28" s="79" customFormat="1" ht="15" hidden="1">
      <c r="A157" s="113">
        <v>3</v>
      </c>
      <c r="B157" s="163"/>
      <c r="C157" s="26" t="s">
        <v>225</v>
      </c>
      <c r="D157" s="175" t="s">
        <v>33</v>
      </c>
      <c r="E157" s="176">
        <v>0</v>
      </c>
      <c r="F157" s="176">
        <v>1</v>
      </c>
      <c r="G157" s="177"/>
      <c r="H157" s="178"/>
      <c r="I157" s="118">
        <v>0</v>
      </c>
      <c r="J157" s="118">
        <v>300</v>
      </c>
      <c r="K157" s="112">
        <f t="shared" si="10"/>
        <v>300</v>
      </c>
      <c r="L157" s="163"/>
      <c r="M157" s="211"/>
      <c r="N157" s="136"/>
      <c r="O157" s="174"/>
      <c r="P157" s="118">
        <v>300</v>
      </c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</row>
    <row r="158" spans="1:28" s="79" customFormat="1" ht="15" hidden="1">
      <c r="A158" s="113">
        <v>4</v>
      </c>
      <c r="B158" s="163"/>
      <c r="C158" s="26" t="s">
        <v>226</v>
      </c>
      <c r="D158" s="175" t="s">
        <v>33</v>
      </c>
      <c r="E158" s="176">
        <v>0</v>
      </c>
      <c r="F158" s="176">
        <v>1</v>
      </c>
      <c r="G158" s="177"/>
      <c r="H158" s="178"/>
      <c r="I158" s="118">
        <v>0</v>
      </c>
      <c r="J158" s="118">
        <v>459.885</v>
      </c>
      <c r="K158" s="112">
        <f t="shared" si="10"/>
        <v>459.885</v>
      </c>
      <c r="L158" s="163"/>
      <c r="M158" s="211"/>
      <c r="N158" s="136"/>
      <c r="O158" s="174"/>
      <c r="P158" s="118">
        <v>459.885</v>
      </c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</row>
    <row r="159" spans="1:28" s="79" customFormat="1" ht="15" hidden="1">
      <c r="A159" s="113">
        <v>5</v>
      </c>
      <c r="B159" s="163"/>
      <c r="C159" s="26" t="s">
        <v>227</v>
      </c>
      <c r="D159" s="175" t="s">
        <v>33</v>
      </c>
      <c r="E159" s="176">
        <v>0</v>
      </c>
      <c r="F159" s="176">
        <v>2</v>
      </c>
      <c r="G159" s="177"/>
      <c r="H159" s="178"/>
      <c r="I159" s="118">
        <v>0</v>
      </c>
      <c r="J159" s="118">
        <v>935.98</v>
      </c>
      <c r="K159" s="112">
        <f t="shared" si="10"/>
        <v>935.98</v>
      </c>
      <c r="L159" s="163"/>
      <c r="M159" s="211"/>
      <c r="N159" s="136"/>
      <c r="O159" s="174"/>
      <c r="P159" s="118">
        <v>935.98</v>
      </c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</row>
    <row r="160" spans="1:28" s="79" customFormat="1" ht="15" hidden="1">
      <c r="A160" s="113">
        <v>6</v>
      </c>
      <c r="B160" s="163"/>
      <c r="C160" s="26" t="s">
        <v>228</v>
      </c>
      <c r="D160" s="175" t="s">
        <v>33</v>
      </c>
      <c r="E160" s="176">
        <v>0</v>
      </c>
      <c r="F160" s="176">
        <v>30</v>
      </c>
      <c r="G160" s="177"/>
      <c r="H160" s="178"/>
      <c r="I160" s="118">
        <v>0</v>
      </c>
      <c r="J160" s="118">
        <v>1350</v>
      </c>
      <c r="K160" s="112">
        <f t="shared" si="10"/>
        <v>1350</v>
      </c>
      <c r="L160" s="163"/>
      <c r="M160" s="211"/>
      <c r="N160" s="136"/>
      <c r="O160" s="174"/>
      <c r="P160" s="118">
        <v>1350</v>
      </c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</row>
    <row r="161" spans="1:28" s="79" customFormat="1" ht="15" hidden="1">
      <c r="A161" s="113">
        <v>7</v>
      </c>
      <c r="B161" s="163"/>
      <c r="C161" s="26" t="s">
        <v>229</v>
      </c>
      <c r="D161" s="175" t="s">
        <v>33</v>
      </c>
      <c r="E161" s="176">
        <v>0</v>
      </c>
      <c r="F161" s="176">
        <v>1</v>
      </c>
      <c r="G161" s="177"/>
      <c r="H161" s="178"/>
      <c r="I161" s="118">
        <v>0</v>
      </c>
      <c r="J161" s="118">
        <v>967.52</v>
      </c>
      <c r="K161" s="112">
        <f t="shared" si="10"/>
        <v>967.52</v>
      </c>
      <c r="L161" s="163"/>
      <c r="M161" s="211"/>
      <c r="N161" s="136"/>
      <c r="O161" s="174"/>
      <c r="P161" s="118">
        <v>967.52</v>
      </c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</row>
    <row r="162" spans="1:28" s="13" customFormat="1" ht="15">
      <c r="A162" s="113">
        <v>1</v>
      </c>
      <c r="B162" s="98"/>
      <c r="C162" s="26" t="s">
        <v>188</v>
      </c>
      <c r="D162" s="179" t="s">
        <v>33</v>
      </c>
      <c r="E162" s="180">
        <v>3</v>
      </c>
      <c r="F162" s="180">
        <v>3</v>
      </c>
      <c r="G162" s="125"/>
      <c r="H162" s="98"/>
      <c r="I162" s="71">
        <v>479.811</v>
      </c>
      <c r="J162" s="71">
        <v>479.811</v>
      </c>
      <c r="K162" s="224">
        <f t="shared" si="10"/>
        <v>0</v>
      </c>
      <c r="L162" s="98"/>
      <c r="M162" s="213"/>
      <c r="N162" s="137"/>
      <c r="O162" s="118"/>
      <c r="P162" s="71">
        <v>479.811</v>
      </c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</row>
    <row r="163" spans="1:28" s="13" customFormat="1" ht="15">
      <c r="A163" s="113">
        <v>2</v>
      </c>
      <c r="B163" s="98"/>
      <c r="C163" s="26" t="s">
        <v>189</v>
      </c>
      <c r="D163" s="179" t="s">
        <v>33</v>
      </c>
      <c r="E163" s="180">
        <v>2</v>
      </c>
      <c r="F163" s="180">
        <v>2</v>
      </c>
      <c r="G163" s="125"/>
      <c r="H163" s="98"/>
      <c r="I163" s="71">
        <v>563.998</v>
      </c>
      <c r="J163" s="71">
        <v>563.998</v>
      </c>
      <c r="K163" s="224">
        <f t="shared" si="10"/>
        <v>0</v>
      </c>
      <c r="L163" s="98"/>
      <c r="M163" s="213"/>
      <c r="N163" s="137"/>
      <c r="O163" s="118"/>
      <c r="P163" s="71">
        <v>563.998</v>
      </c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</row>
    <row r="164" spans="1:28" s="13" customFormat="1" ht="15" hidden="1">
      <c r="A164" s="113">
        <v>10</v>
      </c>
      <c r="B164" s="98"/>
      <c r="C164" s="26" t="s">
        <v>230</v>
      </c>
      <c r="D164" s="179" t="s">
        <v>33</v>
      </c>
      <c r="E164" s="180">
        <v>0</v>
      </c>
      <c r="F164" s="180">
        <v>1</v>
      </c>
      <c r="G164" s="125"/>
      <c r="H164" s="98"/>
      <c r="I164" s="71">
        <v>0</v>
      </c>
      <c r="J164" s="71">
        <v>458.9</v>
      </c>
      <c r="K164" s="112">
        <f t="shared" si="10"/>
        <v>458.9</v>
      </c>
      <c r="L164" s="98"/>
      <c r="M164" s="213"/>
      <c r="N164" s="137"/>
      <c r="O164" s="118"/>
      <c r="P164" s="71">
        <v>458.9</v>
      </c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</row>
    <row r="165" spans="1:28" s="13" customFormat="1" ht="15" hidden="1">
      <c r="A165" s="113">
        <v>11</v>
      </c>
      <c r="B165" s="98"/>
      <c r="C165" s="26" t="s">
        <v>231</v>
      </c>
      <c r="D165" s="179" t="s">
        <v>33</v>
      </c>
      <c r="E165" s="180">
        <v>0</v>
      </c>
      <c r="F165" s="180">
        <v>1</v>
      </c>
      <c r="G165" s="125"/>
      <c r="H165" s="98"/>
      <c r="I165" s="71">
        <v>0</v>
      </c>
      <c r="J165" s="71">
        <v>475.32</v>
      </c>
      <c r="K165" s="112">
        <f t="shared" si="10"/>
        <v>475.32</v>
      </c>
      <c r="L165" s="98"/>
      <c r="M165" s="213"/>
      <c r="N165" s="137"/>
      <c r="O165" s="118"/>
      <c r="P165" s="71">
        <v>475.32</v>
      </c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</row>
    <row r="166" spans="1:28" s="13" customFormat="1" ht="15" hidden="1">
      <c r="A166" s="113">
        <v>12</v>
      </c>
      <c r="B166" s="98"/>
      <c r="C166" s="26" t="s">
        <v>232</v>
      </c>
      <c r="D166" s="179" t="s">
        <v>33</v>
      </c>
      <c r="E166" s="180">
        <v>0</v>
      </c>
      <c r="F166" s="180">
        <v>1</v>
      </c>
      <c r="G166" s="125"/>
      <c r="H166" s="98"/>
      <c r="I166" s="71">
        <v>0</v>
      </c>
      <c r="J166" s="71">
        <v>398.92</v>
      </c>
      <c r="K166" s="112">
        <f t="shared" si="10"/>
        <v>398.92</v>
      </c>
      <c r="L166" s="98"/>
      <c r="M166" s="213"/>
      <c r="N166" s="137"/>
      <c r="O166" s="118"/>
      <c r="P166" s="71">
        <v>398.92</v>
      </c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</row>
    <row r="167" spans="1:28" s="13" customFormat="1" ht="15" hidden="1">
      <c r="A167" s="113">
        <v>13</v>
      </c>
      <c r="B167" s="98"/>
      <c r="C167" s="26" t="s">
        <v>231</v>
      </c>
      <c r="D167" s="179" t="s">
        <v>33</v>
      </c>
      <c r="E167" s="180">
        <v>0</v>
      </c>
      <c r="F167" s="180">
        <v>1</v>
      </c>
      <c r="G167" s="125"/>
      <c r="H167" s="98"/>
      <c r="I167" s="71">
        <v>0</v>
      </c>
      <c r="J167" s="71">
        <v>489</v>
      </c>
      <c r="K167" s="112">
        <f t="shared" si="10"/>
        <v>489</v>
      </c>
      <c r="L167" s="98"/>
      <c r="M167" s="213"/>
      <c r="N167" s="137"/>
      <c r="O167" s="118"/>
      <c r="P167" s="71">
        <v>489</v>
      </c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</row>
    <row r="168" spans="1:28" s="13" customFormat="1" ht="15" hidden="1">
      <c r="A168" s="113">
        <v>14</v>
      </c>
      <c r="B168" s="98"/>
      <c r="C168" s="26" t="s">
        <v>233</v>
      </c>
      <c r="D168" s="179" t="s">
        <v>33</v>
      </c>
      <c r="E168" s="180">
        <v>0</v>
      </c>
      <c r="F168" s="180">
        <v>1</v>
      </c>
      <c r="G168" s="125"/>
      <c r="H168" s="98"/>
      <c r="I168" s="71">
        <v>0</v>
      </c>
      <c r="J168" s="71">
        <v>585</v>
      </c>
      <c r="K168" s="112">
        <f t="shared" si="10"/>
        <v>585</v>
      </c>
      <c r="L168" s="98"/>
      <c r="M168" s="213"/>
      <c r="N168" s="137"/>
      <c r="O168" s="118"/>
      <c r="P168" s="71">
        <v>585</v>
      </c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</row>
    <row r="169" spans="1:28" s="13" customFormat="1" ht="15" hidden="1">
      <c r="A169" s="113">
        <v>15</v>
      </c>
      <c r="B169" s="98"/>
      <c r="C169" s="26" t="s">
        <v>234</v>
      </c>
      <c r="D169" s="179" t="s">
        <v>33</v>
      </c>
      <c r="E169" s="180">
        <v>0</v>
      </c>
      <c r="F169" s="180">
        <v>30</v>
      </c>
      <c r="G169" s="125"/>
      <c r="H169" s="98"/>
      <c r="I169" s="71">
        <v>0</v>
      </c>
      <c r="J169" s="71">
        <v>253.5</v>
      </c>
      <c r="K169" s="112">
        <f t="shared" si="10"/>
        <v>253.5</v>
      </c>
      <c r="L169" s="98"/>
      <c r="M169" s="213"/>
      <c r="N169" s="137"/>
      <c r="O169" s="118"/>
      <c r="P169" s="71">
        <v>253.5</v>
      </c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</row>
    <row r="170" spans="1:28" s="13" customFormat="1" ht="15" hidden="1">
      <c r="A170" s="113">
        <v>16</v>
      </c>
      <c r="B170" s="98"/>
      <c r="C170" s="26" t="s">
        <v>235</v>
      </c>
      <c r="D170" s="179" t="s">
        <v>33</v>
      </c>
      <c r="E170" s="180">
        <v>0</v>
      </c>
      <c r="F170" s="180">
        <v>1</v>
      </c>
      <c r="G170" s="125"/>
      <c r="H170" s="98"/>
      <c r="I170" s="71">
        <v>0</v>
      </c>
      <c r="J170" s="71">
        <v>221.786</v>
      </c>
      <c r="K170" s="112">
        <f t="shared" si="10"/>
        <v>221.786</v>
      </c>
      <c r="L170" s="98"/>
      <c r="M170" s="213"/>
      <c r="N170" s="137"/>
      <c r="O170" s="118"/>
      <c r="P170" s="71">
        <v>221.786</v>
      </c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</row>
    <row r="171" spans="1:28" s="13" customFormat="1" ht="27">
      <c r="A171" s="113"/>
      <c r="B171" s="98"/>
      <c r="C171" s="216" t="s">
        <v>292</v>
      </c>
      <c r="D171" s="179"/>
      <c r="E171" s="180"/>
      <c r="F171" s="180"/>
      <c r="G171" s="125"/>
      <c r="H171" s="98"/>
      <c r="I171" s="71">
        <v>0</v>
      </c>
      <c r="J171" s="71">
        <v>7246</v>
      </c>
      <c r="K171" s="112">
        <f t="shared" si="10"/>
        <v>7246</v>
      </c>
      <c r="L171" s="98"/>
      <c r="M171" s="213"/>
      <c r="N171" s="137"/>
      <c r="O171" s="118"/>
      <c r="P171" s="71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</row>
    <row r="172" spans="1:28" s="80" customFormat="1" ht="15">
      <c r="A172" s="170">
        <v>7</v>
      </c>
      <c r="B172" s="178"/>
      <c r="C172" s="171" t="s">
        <v>51</v>
      </c>
      <c r="D172" s="172"/>
      <c r="E172" s="170"/>
      <c r="F172" s="170"/>
      <c r="G172" s="177"/>
      <c r="H172" s="178"/>
      <c r="I172" s="162">
        <f>I174+I194</f>
        <v>3227.249</v>
      </c>
      <c r="J172" s="162">
        <f>SUM(J173:J198)</f>
        <v>9336.567</v>
      </c>
      <c r="K172" s="112">
        <v>6110</v>
      </c>
      <c r="L172" s="154"/>
      <c r="M172" s="211">
        <v>9337</v>
      </c>
      <c r="N172" s="134"/>
      <c r="O172" s="162"/>
      <c r="P172" s="184">
        <v>9336.567</v>
      </c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</row>
    <row r="173" spans="1:28" s="80" customFormat="1" ht="15" hidden="1">
      <c r="A173" s="181">
        <v>1</v>
      </c>
      <c r="B173" s="178"/>
      <c r="C173" s="26" t="s">
        <v>236</v>
      </c>
      <c r="D173" s="182" t="s">
        <v>33</v>
      </c>
      <c r="E173" s="183">
        <v>0</v>
      </c>
      <c r="F173" s="183">
        <v>1</v>
      </c>
      <c r="G173" s="177"/>
      <c r="H173" s="178"/>
      <c r="I173" s="184">
        <v>0</v>
      </c>
      <c r="J173" s="71">
        <v>495</v>
      </c>
      <c r="K173" s="112">
        <f aca="true" t="shared" si="11" ref="K173:K198">J173-I173</f>
        <v>495</v>
      </c>
      <c r="L173" s="185"/>
      <c r="M173" s="212"/>
      <c r="N173" s="140"/>
      <c r="O173" s="184"/>
      <c r="P173" s="71">
        <v>495</v>
      </c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</row>
    <row r="174" spans="1:28" s="80" customFormat="1" ht="15">
      <c r="A174" s="181">
        <v>1</v>
      </c>
      <c r="B174" s="178"/>
      <c r="C174" s="26" t="s">
        <v>190</v>
      </c>
      <c r="D174" s="182" t="s">
        <v>33</v>
      </c>
      <c r="E174" s="183">
        <v>50</v>
      </c>
      <c r="F174" s="183">
        <v>50</v>
      </c>
      <c r="G174" s="177"/>
      <c r="H174" s="178"/>
      <c r="I174" s="110">
        <v>1664.75</v>
      </c>
      <c r="J174" s="71">
        <f>I174</f>
        <v>1664.75</v>
      </c>
      <c r="K174" s="224">
        <f t="shared" si="11"/>
        <v>0</v>
      </c>
      <c r="L174" s="185"/>
      <c r="M174" s="212"/>
      <c r="N174" s="140"/>
      <c r="O174" s="184"/>
      <c r="P174" s="71">
        <v>1664.75</v>
      </c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</row>
    <row r="175" spans="1:28" s="80" customFormat="1" ht="15" hidden="1">
      <c r="A175" s="181">
        <v>3</v>
      </c>
      <c r="B175" s="178"/>
      <c r="C175" s="26" t="s">
        <v>237</v>
      </c>
      <c r="D175" s="182" t="s">
        <v>33</v>
      </c>
      <c r="E175" s="183">
        <v>0</v>
      </c>
      <c r="F175" s="183">
        <v>2</v>
      </c>
      <c r="G175" s="177"/>
      <c r="H175" s="178"/>
      <c r="I175" s="184">
        <v>0</v>
      </c>
      <c r="J175" s="71">
        <v>83.036</v>
      </c>
      <c r="K175" s="224">
        <f t="shared" si="11"/>
        <v>83.036</v>
      </c>
      <c r="L175" s="185"/>
      <c r="M175" s="212"/>
      <c r="N175" s="140"/>
      <c r="O175" s="184"/>
      <c r="P175" s="71">
        <v>83.036</v>
      </c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</row>
    <row r="176" spans="1:28" s="80" customFormat="1" ht="15" hidden="1">
      <c r="A176" s="181">
        <v>4</v>
      </c>
      <c r="B176" s="178"/>
      <c r="C176" s="26" t="s">
        <v>238</v>
      </c>
      <c r="D176" s="182" t="s">
        <v>33</v>
      </c>
      <c r="E176" s="183">
        <v>0</v>
      </c>
      <c r="F176" s="183">
        <v>1</v>
      </c>
      <c r="G176" s="177"/>
      <c r="H176" s="178"/>
      <c r="I176" s="184">
        <v>0</v>
      </c>
      <c r="J176" s="71">
        <v>14.723</v>
      </c>
      <c r="K176" s="224">
        <f t="shared" si="11"/>
        <v>14.723</v>
      </c>
      <c r="L176" s="185"/>
      <c r="M176" s="212"/>
      <c r="N176" s="140"/>
      <c r="O176" s="184"/>
      <c r="P176" s="71">
        <v>14.723</v>
      </c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</row>
    <row r="177" spans="1:28" s="80" customFormat="1" ht="15" hidden="1">
      <c r="A177" s="181">
        <v>5</v>
      </c>
      <c r="B177" s="178"/>
      <c r="C177" s="26" t="s">
        <v>239</v>
      </c>
      <c r="D177" s="182" t="s">
        <v>33</v>
      </c>
      <c r="E177" s="183">
        <v>0</v>
      </c>
      <c r="F177" s="183">
        <v>2</v>
      </c>
      <c r="G177" s="177"/>
      <c r="H177" s="178"/>
      <c r="I177" s="184">
        <v>0</v>
      </c>
      <c r="J177" s="71">
        <f>120+80</f>
        <v>200</v>
      </c>
      <c r="K177" s="224">
        <f t="shared" si="11"/>
        <v>200</v>
      </c>
      <c r="L177" s="185"/>
      <c r="M177" s="212"/>
      <c r="N177" s="140"/>
      <c r="O177" s="184"/>
      <c r="P177" s="71">
        <v>200</v>
      </c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</row>
    <row r="178" spans="1:28" s="80" customFormat="1" ht="15" hidden="1">
      <c r="A178" s="181">
        <v>6</v>
      </c>
      <c r="B178" s="178"/>
      <c r="C178" s="26" t="s">
        <v>239</v>
      </c>
      <c r="D178" s="182" t="s">
        <v>33</v>
      </c>
      <c r="E178" s="183">
        <v>0</v>
      </c>
      <c r="F178" s="183">
        <v>1</v>
      </c>
      <c r="G178" s="177"/>
      <c r="H178" s="178"/>
      <c r="I178" s="184">
        <v>0</v>
      </c>
      <c r="J178" s="71">
        <v>60</v>
      </c>
      <c r="K178" s="224">
        <f t="shared" si="11"/>
        <v>60</v>
      </c>
      <c r="L178" s="185"/>
      <c r="M178" s="212"/>
      <c r="N178" s="140"/>
      <c r="O178" s="184"/>
      <c r="P178" s="71">
        <v>60</v>
      </c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</row>
    <row r="179" spans="1:28" s="80" customFormat="1" ht="15" hidden="1">
      <c r="A179" s="181">
        <v>7</v>
      </c>
      <c r="B179" s="178"/>
      <c r="C179" s="26" t="s">
        <v>240</v>
      </c>
      <c r="D179" s="182" t="s">
        <v>33</v>
      </c>
      <c r="E179" s="183">
        <v>0</v>
      </c>
      <c r="F179" s="183">
        <v>1</v>
      </c>
      <c r="G179" s="177"/>
      <c r="H179" s="178"/>
      <c r="I179" s="184">
        <v>0</v>
      </c>
      <c r="J179" s="71">
        <v>22</v>
      </c>
      <c r="K179" s="224">
        <f t="shared" si="11"/>
        <v>22</v>
      </c>
      <c r="L179" s="185"/>
      <c r="M179" s="212"/>
      <c r="N179" s="140"/>
      <c r="O179" s="184"/>
      <c r="P179" s="71">
        <v>22</v>
      </c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</row>
    <row r="180" spans="1:28" s="80" customFormat="1" ht="15" hidden="1">
      <c r="A180" s="181">
        <v>8</v>
      </c>
      <c r="B180" s="178"/>
      <c r="C180" s="26" t="s">
        <v>241</v>
      </c>
      <c r="D180" s="182" t="s">
        <v>33</v>
      </c>
      <c r="E180" s="183">
        <v>0</v>
      </c>
      <c r="F180" s="183">
        <v>2</v>
      </c>
      <c r="G180" s="177"/>
      <c r="H180" s="178"/>
      <c r="I180" s="184">
        <v>0</v>
      </c>
      <c r="J180" s="71">
        <f>293.111*2</f>
        <v>586.222</v>
      </c>
      <c r="K180" s="224">
        <f t="shared" si="11"/>
        <v>586.222</v>
      </c>
      <c r="L180" s="185"/>
      <c r="M180" s="212"/>
      <c r="N180" s="140"/>
      <c r="O180" s="184"/>
      <c r="P180" s="71">
        <v>586.222</v>
      </c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</row>
    <row r="181" spans="1:28" s="80" customFormat="1" ht="15" hidden="1">
      <c r="A181" s="181">
        <v>9</v>
      </c>
      <c r="B181" s="178"/>
      <c r="C181" s="26" t="s">
        <v>242</v>
      </c>
      <c r="D181" s="182" t="s">
        <v>33</v>
      </c>
      <c r="E181" s="183">
        <v>0</v>
      </c>
      <c r="F181" s="183">
        <v>3</v>
      </c>
      <c r="G181" s="177"/>
      <c r="H181" s="178"/>
      <c r="I181" s="184">
        <v>0</v>
      </c>
      <c r="J181" s="71">
        <f>60+11+55</f>
        <v>126</v>
      </c>
      <c r="K181" s="224">
        <f t="shared" si="11"/>
        <v>126</v>
      </c>
      <c r="L181" s="185"/>
      <c r="M181" s="212"/>
      <c r="N181" s="140"/>
      <c r="O181" s="184"/>
      <c r="P181" s="71">
        <v>126</v>
      </c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</row>
    <row r="182" spans="1:28" s="80" customFormat="1" ht="15" hidden="1">
      <c r="A182" s="181">
        <v>10</v>
      </c>
      <c r="B182" s="178"/>
      <c r="C182" s="26" t="s">
        <v>243</v>
      </c>
      <c r="D182" s="182" t="s">
        <v>33</v>
      </c>
      <c r="E182" s="183">
        <v>0</v>
      </c>
      <c r="F182" s="183">
        <v>1</v>
      </c>
      <c r="G182" s="177"/>
      <c r="H182" s="178"/>
      <c r="I182" s="184">
        <v>0</v>
      </c>
      <c r="J182" s="71">
        <v>19.643</v>
      </c>
      <c r="K182" s="224">
        <f t="shared" si="11"/>
        <v>19.643</v>
      </c>
      <c r="L182" s="185"/>
      <c r="M182" s="212"/>
      <c r="N182" s="140"/>
      <c r="O182" s="184"/>
      <c r="P182" s="71">
        <v>19.643</v>
      </c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</row>
    <row r="183" spans="1:28" s="80" customFormat="1" ht="15" hidden="1">
      <c r="A183" s="181">
        <v>11</v>
      </c>
      <c r="B183" s="178"/>
      <c r="C183" s="26" t="s">
        <v>244</v>
      </c>
      <c r="D183" s="182" t="s">
        <v>33</v>
      </c>
      <c r="E183" s="183">
        <v>0</v>
      </c>
      <c r="F183" s="183">
        <v>17</v>
      </c>
      <c r="G183" s="177"/>
      <c r="H183" s="178"/>
      <c r="I183" s="184">
        <v>0</v>
      </c>
      <c r="J183" s="71">
        <v>102.366</v>
      </c>
      <c r="K183" s="224">
        <f t="shared" si="11"/>
        <v>102.366</v>
      </c>
      <c r="L183" s="185"/>
      <c r="M183" s="212"/>
      <c r="N183" s="140"/>
      <c r="O183" s="184"/>
      <c r="P183" s="71">
        <v>102.366</v>
      </c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</row>
    <row r="184" spans="1:28" s="80" customFormat="1" ht="15" hidden="1">
      <c r="A184" s="181">
        <v>12</v>
      </c>
      <c r="B184" s="178"/>
      <c r="C184" s="26" t="s">
        <v>245</v>
      </c>
      <c r="D184" s="182" t="s">
        <v>33</v>
      </c>
      <c r="E184" s="183">
        <v>0</v>
      </c>
      <c r="F184" s="183">
        <v>1</v>
      </c>
      <c r="G184" s="177"/>
      <c r="H184" s="178"/>
      <c r="I184" s="184">
        <v>0</v>
      </c>
      <c r="J184" s="71">
        <v>19.902</v>
      </c>
      <c r="K184" s="224">
        <f t="shared" si="11"/>
        <v>19.902</v>
      </c>
      <c r="L184" s="185"/>
      <c r="M184" s="212"/>
      <c r="N184" s="140"/>
      <c r="O184" s="184"/>
      <c r="P184" s="71">
        <v>19.902</v>
      </c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</row>
    <row r="185" spans="1:28" s="80" customFormat="1" ht="15" hidden="1">
      <c r="A185" s="181">
        <v>13</v>
      </c>
      <c r="B185" s="178"/>
      <c r="C185" s="26" t="s">
        <v>245</v>
      </c>
      <c r="D185" s="182" t="s">
        <v>33</v>
      </c>
      <c r="E185" s="183">
        <v>0</v>
      </c>
      <c r="F185" s="183">
        <v>2</v>
      </c>
      <c r="G185" s="177"/>
      <c r="H185" s="178"/>
      <c r="I185" s="184">
        <v>0</v>
      </c>
      <c r="J185" s="71">
        <v>52.75</v>
      </c>
      <c r="K185" s="224">
        <f t="shared" si="11"/>
        <v>52.75</v>
      </c>
      <c r="L185" s="185"/>
      <c r="M185" s="212"/>
      <c r="N185" s="140"/>
      <c r="O185" s="184"/>
      <c r="P185" s="71">
        <v>52.75</v>
      </c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</row>
    <row r="186" spans="1:28" s="80" customFormat="1" ht="15" hidden="1">
      <c r="A186" s="181">
        <v>14</v>
      </c>
      <c r="B186" s="178"/>
      <c r="C186" s="26" t="s">
        <v>246</v>
      </c>
      <c r="D186" s="182" t="s">
        <v>33</v>
      </c>
      <c r="E186" s="183">
        <v>0</v>
      </c>
      <c r="F186" s="183">
        <v>1</v>
      </c>
      <c r="G186" s="177"/>
      <c r="H186" s="178"/>
      <c r="I186" s="184">
        <v>0</v>
      </c>
      <c r="J186" s="71">
        <v>89.82</v>
      </c>
      <c r="K186" s="224">
        <f t="shared" si="11"/>
        <v>89.82</v>
      </c>
      <c r="L186" s="185"/>
      <c r="M186" s="212"/>
      <c r="N186" s="140"/>
      <c r="O186" s="184"/>
      <c r="P186" s="71">
        <v>89.82</v>
      </c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</row>
    <row r="187" spans="1:28" s="13" customFormat="1" ht="15" hidden="1">
      <c r="A187" s="181">
        <v>15</v>
      </c>
      <c r="B187" s="98"/>
      <c r="C187" s="26" t="s">
        <v>238</v>
      </c>
      <c r="D187" s="93" t="s">
        <v>33</v>
      </c>
      <c r="E187" s="88">
        <v>0</v>
      </c>
      <c r="F187" s="88">
        <v>1</v>
      </c>
      <c r="G187" s="125"/>
      <c r="H187" s="98"/>
      <c r="I187" s="71">
        <v>0</v>
      </c>
      <c r="J187" s="71">
        <v>80.33</v>
      </c>
      <c r="K187" s="224">
        <f t="shared" si="11"/>
        <v>80.33</v>
      </c>
      <c r="L187" s="186"/>
      <c r="M187" s="213"/>
      <c r="N187" s="141"/>
      <c r="O187" s="107"/>
      <c r="P187" s="71">
        <v>80.33</v>
      </c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</row>
    <row r="188" spans="1:28" s="13" customFormat="1" ht="15" hidden="1">
      <c r="A188" s="181">
        <v>16</v>
      </c>
      <c r="B188" s="98"/>
      <c r="C188" s="26" t="s">
        <v>245</v>
      </c>
      <c r="D188" s="93" t="s">
        <v>33</v>
      </c>
      <c r="E188" s="88">
        <v>0</v>
      </c>
      <c r="F188" s="88">
        <v>1</v>
      </c>
      <c r="G188" s="125"/>
      <c r="H188" s="98"/>
      <c r="I188" s="187">
        <v>0</v>
      </c>
      <c r="J188" s="71">
        <v>27.196</v>
      </c>
      <c r="K188" s="224">
        <f t="shared" si="11"/>
        <v>27.196</v>
      </c>
      <c r="L188" s="186"/>
      <c r="M188" s="213"/>
      <c r="N188" s="141"/>
      <c r="O188" s="107"/>
      <c r="P188" s="71">
        <v>27.196</v>
      </c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</row>
    <row r="189" spans="1:28" s="13" customFormat="1" ht="15" hidden="1">
      <c r="A189" s="181">
        <v>17</v>
      </c>
      <c r="B189" s="98"/>
      <c r="C189" s="26" t="s">
        <v>239</v>
      </c>
      <c r="D189" s="93" t="s">
        <v>33</v>
      </c>
      <c r="E189" s="88">
        <v>0</v>
      </c>
      <c r="F189" s="88">
        <v>1</v>
      </c>
      <c r="G189" s="125"/>
      <c r="H189" s="98"/>
      <c r="I189" s="187">
        <v>0</v>
      </c>
      <c r="J189" s="71">
        <v>75</v>
      </c>
      <c r="K189" s="224">
        <f t="shared" si="11"/>
        <v>75</v>
      </c>
      <c r="L189" s="186"/>
      <c r="M189" s="213"/>
      <c r="N189" s="141"/>
      <c r="O189" s="107"/>
      <c r="P189" s="71">
        <v>75</v>
      </c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</row>
    <row r="190" spans="1:28" s="13" customFormat="1" ht="15" hidden="1">
      <c r="A190" s="181">
        <v>18</v>
      </c>
      <c r="B190" s="98"/>
      <c r="C190" s="26" t="s">
        <v>247</v>
      </c>
      <c r="D190" s="93" t="s">
        <v>33</v>
      </c>
      <c r="E190" s="88">
        <v>0</v>
      </c>
      <c r="F190" s="88">
        <v>2</v>
      </c>
      <c r="G190" s="125"/>
      <c r="H190" s="98"/>
      <c r="I190" s="187">
        <v>0</v>
      </c>
      <c r="J190" s="71">
        <v>232</v>
      </c>
      <c r="K190" s="224">
        <f t="shared" si="11"/>
        <v>232</v>
      </c>
      <c r="L190" s="186"/>
      <c r="M190" s="213"/>
      <c r="N190" s="141"/>
      <c r="O190" s="107"/>
      <c r="P190" s="71">
        <v>232</v>
      </c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</row>
    <row r="191" spans="1:28" s="13" customFormat="1" ht="15" hidden="1">
      <c r="A191" s="181">
        <v>19</v>
      </c>
      <c r="B191" s="98"/>
      <c r="C191" s="26" t="s">
        <v>248</v>
      </c>
      <c r="D191" s="93" t="s">
        <v>33</v>
      </c>
      <c r="E191" s="88">
        <v>0</v>
      </c>
      <c r="F191" s="88">
        <v>12</v>
      </c>
      <c r="G191" s="125"/>
      <c r="H191" s="98"/>
      <c r="I191" s="187">
        <v>0</v>
      </c>
      <c r="J191" s="71">
        <v>406</v>
      </c>
      <c r="K191" s="224">
        <f t="shared" si="11"/>
        <v>406</v>
      </c>
      <c r="L191" s="186"/>
      <c r="M191" s="213"/>
      <c r="N191" s="141"/>
      <c r="O191" s="107"/>
      <c r="P191" s="71">
        <v>406</v>
      </c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</row>
    <row r="192" spans="1:28" s="13" customFormat="1" ht="15" hidden="1">
      <c r="A192" s="181">
        <v>20</v>
      </c>
      <c r="B192" s="98"/>
      <c r="C192" s="26" t="s">
        <v>247</v>
      </c>
      <c r="D192" s="93" t="s">
        <v>33</v>
      </c>
      <c r="E192" s="88">
        <v>0</v>
      </c>
      <c r="F192" s="88">
        <v>1</v>
      </c>
      <c r="G192" s="125"/>
      <c r="H192" s="98"/>
      <c r="I192" s="187">
        <v>0</v>
      </c>
      <c r="J192" s="71">
        <v>860</v>
      </c>
      <c r="K192" s="224">
        <f t="shared" si="11"/>
        <v>860</v>
      </c>
      <c r="L192" s="186"/>
      <c r="M192" s="213"/>
      <c r="N192" s="141"/>
      <c r="O192" s="107"/>
      <c r="P192" s="71">
        <v>860</v>
      </c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</row>
    <row r="193" spans="1:28" s="13" customFormat="1" ht="15" hidden="1">
      <c r="A193" s="181">
        <v>21</v>
      </c>
      <c r="B193" s="98"/>
      <c r="C193" s="26" t="s">
        <v>247</v>
      </c>
      <c r="D193" s="93" t="s">
        <v>33</v>
      </c>
      <c r="E193" s="88">
        <v>0</v>
      </c>
      <c r="F193" s="88">
        <v>3</v>
      </c>
      <c r="G193" s="125"/>
      <c r="H193" s="98"/>
      <c r="I193" s="187">
        <v>0</v>
      </c>
      <c r="J193" s="71">
        <v>296</v>
      </c>
      <c r="K193" s="224">
        <f t="shared" si="11"/>
        <v>296</v>
      </c>
      <c r="L193" s="186"/>
      <c r="M193" s="213"/>
      <c r="N193" s="141"/>
      <c r="O193" s="107"/>
      <c r="P193" s="71">
        <v>296</v>
      </c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</row>
    <row r="194" spans="1:28" s="13" customFormat="1" ht="15">
      <c r="A194" s="181">
        <v>2</v>
      </c>
      <c r="B194" s="98"/>
      <c r="C194" s="26" t="s">
        <v>191</v>
      </c>
      <c r="D194" s="93" t="s">
        <v>33</v>
      </c>
      <c r="E194" s="88">
        <v>3</v>
      </c>
      <c r="F194" s="88">
        <v>3</v>
      </c>
      <c r="G194" s="125"/>
      <c r="H194" s="98"/>
      <c r="I194" s="187">
        <v>1562.499</v>
      </c>
      <c r="J194" s="71">
        <v>1562.499</v>
      </c>
      <c r="K194" s="224">
        <f t="shared" si="11"/>
        <v>0</v>
      </c>
      <c r="L194" s="186"/>
      <c r="M194" s="213"/>
      <c r="N194" s="141"/>
      <c r="O194" s="107"/>
      <c r="P194" s="71">
        <v>1562.499</v>
      </c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</row>
    <row r="195" spans="1:28" s="13" customFormat="1" ht="15" hidden="1">
      <c r="A195" s="181">
        <v>23</v>
      </c>
      <c r="B195" s="98"/>
      <c r="C195" s="26" t="s">
        <v>245</v>
      </c>
      <c r="D195" s="93" t="s">
        <v>33</v>
      </c>
      <c r="E195" s="88">
        <v>0</v>
      </c>
      <c r="F195" s="88">
        <v>1</v>
      </c>
      <c r="G195" s="125"/>
      <c r="H195" s="98"/>
      <c r="I195" s="187">
        <v>0</v>
      </c>
      <c r="J195" s="71">
        <v>16.33</v>
      </c>
      <c r="K195" s="112">
        <f t="shared" si="11"/>
        <v>16.33</v>
      </c>
      <c r="L195" s="186"/>
      <c r="M195" s="213"/>
      <c r="N195" s="141"/>
      <c r="O195" s="107"/>
      <c r="P195" s="71">
        <v>16.33</v>
      </c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</row>
    <row r="196" spans="1:28" s="13" customFormat="1" ht="15" hidden="1">
      <c r="A196" s="181">
        <v>24</v>
      </c>
      <c r="B196" s="98"/>
      <c r="C196" s="26" t="s">
        <v>249</v>
      </c>
      <c r="D196" s="93" t="s">
        <v>33</v>
      </c>
      <c r="E196" s="88">
        <v>0</v>
      </c>
      <c r="F196" s="88">
        <v>30</v>
      </c>
      <c r="G196" s="125"/>
      <c r="H196" s="98"/>
      <c r="I196" s="187">
        <v>0</v>
      </c>
      <c r="J196" s="71">
        <v>373.5</v>
      </c>
      <c r="K196" s="112">
        <f t="shared" si="11"/>
        <v>373.5</v>
      </c>
      <c r="L196" s="186"/>
      <c r="M196" s="213"/>
      <c r="N196" s="141"/>
      <c r="O196" s="107"/>
      <c r="P196" s="71">
        <v>373.5</v>
      </c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</row>
    <row r="197" spans="1:28" s="13" customFormat="1" ht="15" hidden="1">
      <c r="A197" s="181">
        <v>25</v>
      </c>
      <c r="B197" s="98"/>
      <c r="C197" s="26" t="s">
        <v>250</v>
      </c>
      <c r="D197" s="93" t="s">
        <v>33</v>
      </c>
      <c r="E197" s="88">
        <v>0</v>
      </c>
      <c r="F197" s="88">
        <v>1</v>
      </c>
      <c r="G197" s="125"/>
      <c r="H197" s="98"/>
      <c r="I197" s="187">
        <v>0</v>
      </c>
      <c r="J197" s="71">
        <v>109</v>
      </c>
      <c r="K197" s="112">
        <f t="shared" si="11"/>
        <v>109</v>
      </c>
      <c r="L197" s="186"/>
      <c r="M197" s="213"/>
      <c r="N197" s="141"/>
      <c r="O197" s="107"/>
      <c r="P197" s="71">
        <v>109</v>
      </c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</row>
    <row r="198" spans="1:28" s="13" customFormat="1" ht="15" hidden="1">
      <c r="A198" s="181">
        <v>26</v>
      </c>
      <c r="B198" s="98"/>
      <c r="C198" s="26" t="s">
        <v>251</v>
      </c>
      <c r="D198" s="93" t="s">
        <v>33</v>
      </c>
      <c r="E198" s="88">
        <v>0</v>
      </c>
      <c r="F198" s="88">
        <v>91</v>
      </c>
      <c r="G198" s="125"/>
      <c r="H198" s="98"/>
      <c r="I198" s="187">
        <v>0</v>
      </c>
      <c r="J198" s="71">
        <v>1762.5</v>
      </c>
      <c r="K198" s="112">
        <f t="shared" si="11"/>
        <v>1762.5</v>
      </c>
      <c r="L198" s="186"/>
      <c r="M198" s="213"/>
      <c r="N198" s="141"/>
      <c r="O198" s="107"/>
      <c r="P198" s="71">
        <v>1762.5</v>
      </c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</row>
    <row r="199" spans="1:28" s="13" customFormat="1" ht="27">
      <c r="A199" s="181"/>
      <c r="B199" s="98"/>
      <c r="C199" s="216" t="s">
        <v>293</v>
      </c>
      <c r="D199" s="93"/>
      <c r="E199" s="88"/>
      <c r="F199" s="88"/>
      <c r="G199" s="125"/>
      <c r="H199" s="98"/>
      <c r="I199" s="187">
        <v>0</v>
      </c>
      <c r="J199" s="71">
        <v>6110</v>
      </c>
      <c r="K199" s="112">
        <v>6110</v>
      </c>
      <c r="L199" s="186"/>
      <c r="M199" s="213"/>
      <c r="N199" s="141"/>
      <c r="O199" s="107"/>
      <c r="P199" s="71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</row>
    <row r="200" spans="1:28" s="80" customFormat="1" ht="15">
      <c r="A200" s="170">
        <v>8</v>
      </c>
      <c r="B200" s="178"/>
      <c r="C200" s="171" t="s">
        <v>92</v>
      </c>
      <c r="D200" s="188"/>
      <c r="E200" s="189"/>
      <c r="F200" s="189"/>
      <c r="G200" s="177"/>
      <c r="H200" s="178"/>
      <c r="I200" s="174">
        <f>SUM(I201:I204)</f>
        <v>16616.642857142855</v>
      </c>
      <c r="J200" s="174">
        <f>SUM(J201:J211)</f>
        <v>22119.266857142855</v>
      </c>
      <c r="K200" s="112">
        <v>5502</v>
      </c>
      <c r="L200" s="190"/>
      <c r="M200" s="211">
        <v>22119</v>
      </c>
      <c r="N200" s="142"/>
      <c r="O200" s="174"/>
      <c r="P200" s="118">
        <v>22119.266857142855</v>
      </c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</row>
    <row r="201" spans="1:28" ht="15">
      <c r="A201" s="113">
        <v>1</v>
      </c>
      <c r="B201" s="99"/>
      <c r="C201" s="26" t="s">
        <v>192</v>
      </c>
      <c r="D201" s="93" t="s">
        <v>33</v>
      </c>
      <c r="E201" s="88">
        <v>1</v>
      </c>
      <c r="F201" s="88">
        <v>1</v>
      </c>
      <c r="G201" s="125"/>
      <c r="H201" s="98"/>
      <c r="I201" s="94">
        <f>16290/1.12</f>
        <v>14544.642857142855</v>
      </c>
      <c r="J201" s="94">
        <f>16290/1.12</f>
        <v>14544.642857142855</v>
      </c>
      <c r="K201" s="118">
        <f aca="true" t="shared" si="12" ref="K201:K211">I201-J201</f>
        <v>0</v>
      </c>
      <c r="L201" s="111"/>
      <c r="M201" s="213"/>
      <c r="N201" s="203"/>
      <c r="O201" s="110">
        <f>J201</f>
        <v>14544.642857142855</v>
      </c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</row>
    <row r="202" spans="1:28" ht="15" hidden="1">
      <c r="A202" s="113">
        <v>2</v>
      </c>
      <c r="B202" s="99"/>
      <c r="C202" s="26" t="s">
        <v>252</v>
      </c>
      <c r="D202" s="93" t="s">
        <v>33</v>
      </c>
      <c r="E202" s="88">
        <v>0</v>
      </c>
      <c r="F202" s="88">
        <v>1</v>
      </c>
      <c r="G202" s="125"/>
      <c r="H202" s="98"/>
      <c r="I202" s="94">
        <v>0</v>
      </c>
      <c r="J202" s="94">
        <v>500</v>
      </c>
      <c r="K202" s="118">
        <f t="shared" si="12"/>
        <v>-500</v>
      </c>
      <c r="L202" s="111"/>
      <c r="M202" s="213"/>
      <c r="N202" s="203"/>
      <c r="O202" s="110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</row>
    <row r="203" spans="1:28" ht="15">
      <c r="A203" s="113">
        <v>2</v>
      </c>
      <c r="B203" s="99"/>
      <c r="C203" s="26" t="s">
        <v>193</v>
      </c>
      <c r="D203" s="93" t="s">
        <v>33</v>
      </c>
      <c r="E203" s="88">
        <v>1</v>
      </c>
      <c r="F203" s="88">
        <v>1</v>
      </c>
      <c r="G203" s="125"/>
      <c r="H203" s="98"/>
      <c r="I203" s="94">
        <v>2072</v>
      </c>
      <c r="J203" s="94">
        <v>2072</v>
      </c>
      <c r="K203" s="118">
        <f t="shared" si="12"/>
        <v>0</v>
      </c>
      <c r="L203" s="111"/>
      <c r="M203" s="213"/>
      <c r="N203" s="203"/>
      <c r="O203" s="110">
        <f>J203</f>
        <v>2072</v>
      </c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</row>
    <row r="204" spans="1:28" ht="15" hidden="1">
      <c r="A204" s="113">
        <v>4</v>
      </c>
      <c r="B204" s="99"/>
      <c r="C204" s="26" t="s">
        <v>271</v>
      </c>
      <c r="D204" s="93" t="s">
        <v>33</v>
      </c>
      <c r="E204" s="88">
        <v>0</v>
      </c>
      <c r="F204" s="88">
        <v>1</v>
      </c>
      <c r="G204" s="125"/>
      <c r="H204" s="98"/>
      <c r="I204" s="94">
        <v>0</v>
      </c>
      <c r="J204" s="94">
        <v>317.1</v>
      </c>
      <c r="K204" s="118">
        <f t="shared" si="12"/>
        <v>-317.1</v>
      </c>
      <c r="L204" s="111"/>
      <c r="M204" s="213"/>
      <c r="N204" s="203"/>
      <c r="O204" s="110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</row>
    <row r="205" spans="1:28" ht="15" hidden="1">
      <c r="A205" s="113">
        <v>5</v>
      </c>
      <c r="B205" s="99"/>
      <c r="C205" s="26" t="s">
        <v>270</v>
      </c>
      <c r="D205" s="93" t="s">
        <v>33</v>
      </c>
      <c r="E205" s="88">
        <v>0</v>
      </c>
      <c r="F205" s="88">
        <v>1</v>
      </c>
      <c r="G205" s="125"/>
      <c r="H205" s="98"/>
      <c r="I205" s="94">
        <v>0</v>
      </c>
      <c r="J205" s="94">
        <v>247.038</v>
      </c>
      <c r="K205" s="118">
        <f t="shared" si="12"/>
        <v>-247.038</v>
      </c>
      <c r="L205" s="111"/>
      <c r="M205" s="213"/>
      <c r="N205" s="203"/>
      <c r="O205" s="110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</row>
    <row r="206" spans="1:28" ht="15" hidden="1">
      <c r="A206" s="113">
        <v>6</v>
      </c>
      <c r="B206" s="99"/>
      <c r="C206" s="26" t="s">
        <v>253</v>
      </c>
      <c r="D206" s="93" t="s">
        <v>33</v>
      </c>
      <c r="E206" s="88">
        <v>0</v>
      </c>
      <c r="F206" s="88">
        <v>1</v>
      </c>
      <c r="G206" s="125"/>
      <c r="H206" s="98"/>
      <c r="I206" s="94">
        <v>0</v>
      </c>
      <c r="J206" s="94">
        <v>814.2</v>
      </c>
      <c r="K206" s="118">
        <f t="shared" si="12"/>
        <v>-814.2</v>
      </c>
      <c r="L206" s="111"/>
      <c r="M206" s="213"/>
      <c r="N206" s="203"/>
      <c r="O206" s="110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</row>
    <row r="207" spans="1:28" ht="15" hidden="1">
      <c r="A207" s="113">
        <v>7</v>
      </c>
      <c r="B207" s="99"/>
      <c r="C207" s="26" t="s">
        <v>254</v>
      </c>
      <c r="D207" s="93" t="s">
        <v>255</v>
      </c>
      <c r="E207" s="88">
        <v>0</v>
      </c>
      <c r="F207" s="88">
        <v>1</v>
      </c>
      <c r="G207" s="125"/>
      <c r="H207" s="98"/>
      <c r="I207" s="94">
        <v>0</v>
      </c>
      <c r="J207" s="94">
        <v>875</v>
      </c>
      <c r="K207" s="118">
        <f t="shared" si="12"/>
        <v>-875</v>
      </c>
      <c r="L207" s="111"/>
      <c r="M207" s="213"/>
      <c r="N207" s="203"/>
      <c r="O207" s="110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</row>
    <row r="208" spans="1:28" ht="15" hidden="1">
      <c r="A208" s="113">
        <v>8</v>
      </c>
      <c r="B208" s="99"/>
      <c r="C208" s="26" t="s">
        <v>256</v>
      </c>
      <c r="D208" s="93" t="s">
        <v>255</v>
      </c>
      <c r="E208" s="88">
        <v>0</v>
      </c>
      <c r="F208" s="88">
        <v>1</v>
      </c>
      <c r="G208" s="125"/>
      <c r="H208" s="98"/>
      <c r="I208" s="94">
        <v>0</v>
      </c>
      <c r="J208" s="94">
        <v>410</v>
      </c>
      <c r="K208" s="118">
        <f t="shared" si="12"/>
        <v>-410</v>
      </c>
      <c r="L208" s="111"/>
      <c r="M208" s="213"/>
      <c r="N208" s="203"/>
      <c r="O208" s="110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</row>
    <row r="209" spans="1:28" ht="15" hidden="1">
      <c r="A209" s="113">
        <v>9</v>
      </c>
      <c r="B209" s="99"/>
      <c r="C209" s="26" t="s">
        <v>257</v>
      </c>
      <c r="D209" s="93" t="s">
        <v>255</v>
      </c>
      <c r="E209" s="88">
        <v>0</v>
      </c>
      <c r="F209" s="88">
        <v>1</v>
      </c>
      <c r="G209" s="125"/>
      <c r="H209" s="98"/>
      <c r="I209" s="94">
        <v>0</v>
      </c>
      <c r="J209" s="94">
        <v>857.143</v>
      </c>
      <c r="K209" s="118">
        <f t="shared" si="12"/>
        <v>-857.143</v>
      </c>
      <c r="L209" s="111"/>
      <c r="M209" s="213"/>
      <c r="N209" s="203"/>
      <c r="O209" s="110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</row>
    <row r="210" spans="1:28" ht="15" hidden="1">
      <c r="A210" s="113">
        <v>10</v>
      </c>
      <c r="B210" s="99"/>
      <c r="C210" s="26" t="s">
        <v>258</v>
      </c>
      <c r="D210" s="93" t="s">
        <v>255</v>
      </c>
      <c r="E210" s="88">
        <v>0</v>
      </c>
      <c r="F210" s="88">
        <v>1</v>
      </c>
      <c r="G210" s="125"/>
      <c r="H210" s="98"/>
      <c r="I210" s="94">
        <v>0</v>
      </c>
      <c r="J210" s="94">
        <v>821.429</v>
      </c>
      <c r="K210" s="118">
        <f t="shared" si="12"/>
        <v>-821.429</v>
      </c>
      <c r="L210" s="111"/>
      <c r="M210" s="213"/>
      <c r="N210" s="203"/>
      <c r="O210" s="110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</row>
    <row r="211" spans="1:28" ht="15" hidden="1">
      <c r="A211" s="113">
        <v>11</v>
      </c>
      <c r="B211" s="99"/>
      <c r="C211" s="26" t="s">
        <v>259</v>
      </c>
      <c r="D211" s="93" t="s">
        <v>255</v>
      </c>
      <c r="E211" s="88">
        <v>0</v>
      </c>
      <c r="F211" s="88">
        <v>1</v>
      </c>
      <c r="G211" s="125"/>
      <c r="H211" s="98"/>
      <c r="I211" s="94">
        <v>0</v>
      </c>
      <c r="J211" s="94">
        <v>660.714</v>
      </c>
      <c r="K211" s="118">
        <f t="shared" si="12"/>
        <v>-660.714</v>
      </c>
      <c r="L211" s="111"/>
      <c r="M211" s="213"/>
      <c r="N211" s="203"/>
      <c r="O211" s="110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</row>
    <row r="212" spans="1:28" ht="15">
      <c r="A212" s="113"/>
      <c r="B212" s="99"/>
      <c r="C212" s="216" t="s">
        <v>294</v>
      </c>
      <c r="D212" s="93"/>
      <c r="E212" s="88"/>
      <c r="F212" s="88"/>
      <c r="G212" s="125"/>
      <c r="H212" s="98"/>
      <c r="I212" s="94">
        <v>0</v>
      </c>
      <c r="J212" s="94">
        <v>5502</v>
      </c>
      <c r="K212" s="118">
        <v>5502</v>
      </c>
      <c r="L212" s="111"/>
      <c r="M212" s="213"/>
      <c r="N212" s="203"/>
      <c r="O212" s="110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</row>
    <row r="213" spans="1:28" s="13" customFormat="1" ht="15">
      <c r="A213" s="170">
        <v>9</v>
      </c>
      <c r="B213" s="98"/>
      <c r="C213" s="171" t="s">
        <v>203</v>
      </c>
      <c r="D213" s="179"/>
      <c r="E213" s="180"/>
      <c r="F213" s="180"/>
      <c r="G213" s="125"/>
      <c r="H213" s="98"/>
      <c r="I213" s="71">
        <f>I214</f>
        <v>0</v>
      </c>
      <c r="J213" s="174">
        <f>SUM(J214:J224)</f>
        <v>2796.767</v>
      </c>
      <c r="K213" s="112">
        <f aca="true" t="shared" si="13" ref="K213:K224">J213-I213</f>
        <v>2796.767</v>
      </c>
      <c r="L213" s="98"/>
      <c r="M213" s="213">
        <v>2797</v>
      </c>
      <c r="N213" s="137"/>
      <c r="O213" s="174"/>
      <c r="P213" s="118">
        <v>2796.767</v>
      </c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</row>
    <row r="214" spans="1:28" s="13" customFormat="1" ht="15" hidden="1">
      <c r="A214" s="113">
        <v>1</v>
      </c>
      <c r="B214" s="98"/>
      <c r="C214" s="26" t="s">
        <v>260</v>
      </c>
      <c r="D214" s="179" t="s">
        <v>255</v>
      </c>
      <c r="E214" s="180">
        <v>0</v>
      </c>
      <c r="F214" s="180">
        <v>1</v>
      </c>
      <c r="G214" s="125"/>
      <c r="H214" s="98"/>
      <c r="I214" s="71">
        <v>0</v>
      </c>
      <c r="J214" s="71">
        <v>200</v>
      </c>
      <c r="K214" s="112">
        <f t="shared" si="13"/>
        <v>200</v>
      </c>
      <c r="L214" s="98"/>
      <c r="M214" s="213"/>
      <c r="N214" s="137"/>
      <c r="O214" s="118"/>
      <c r="P214" s="71">
        <v>200</v>
      </c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</row>
    <row r="215" spans="1:28" s="13" customFormat="1" ht="15" hidden="1">
      <c r="A215" s="113">
        <v>2</v>
      </c>
      <c r="B215" s="98"/>
      <c r="C215" s="26" t="s">
        <v>260</v>
      </c>
      <c r="D215" s="179" t="s">
        <v>255</v>
      </c>
      <c r="E215" s="180">
        <v>0</v>
      </c>
      <c r="F215" s="180">
        <v>1</v>
      </c>
      <c r="G215" s="125"/>
      <c r="H215" s="98"/>
      <c r="I215" s="71">
        <v>0</v>
      </c>
      <c r="J215" s="71">
        <v>120</v>
      </c>
      <c r="K215" s="112">
        <f t="shared" si="13"/>
        <v>120</v>
      </c>
      <c r="L215" s="98"/>
      <c r="M215" s="213"/>
      <c r="N215" s="137"/>
      <c r="O215" s="118"/>
      <c r="P215" s="71">
        <v>120</v>
      </c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</row>
    <row r="216" spans="1:28" s="13" customFormat="1" ht="15" hidden="1">
      <c r="A216" s="113">
        <v>3</v>
      </c>
      <c r="B216" s="98"/>
      <c r="C216" s="26" t="s">
        <v>261</v>
      </c>
      <c r="D216" s="179" t="s">
        <v>255</v>
      </c>
      <c r="E216" s="180">
        <v>0</v>
      </c>
      <c r="F216" s="180">
        <v>1</v>
      </c>
      <c r="G216" s="125"/>
      <c r="H216" s="98"/>
      <c r="I216" s="71">
        <v>0</v>
      </c>
      <c r="J216" s="71">
        <v>245.536</v>
      </c>
      <c r="K216" s="112">
        <f t="shared" si="13"/>
        <v>245.536</v>
      </c>
      <c r="L216" s="98"/>
      <c r="M216" s="213"/>
      <c r="N216" s="137"/>
      <c r="O216" s="118"/>
      <c r="P216" s="71">
        <v>245.536</v>
      </c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</row>
    <row r="217" spans="1:28" s="13" customFormat="1" ht="15" hidden="1">
      <c r="A217" s="113">
        <v>4</v>
      </c>
      <c r="B217" s="98"/>
      <c r="C217" s="26" t="s">
        <v>262</v>
      </c>
      <c r="D217" s="179" t="s">
        <v>255</v>
      </c>
      <c r="E217" s="180">
        <v>0</v>
      </c>
      <c r="F217" s="180">
        <v>1</v>
      </c>
      <c r="G217" s="125"/>
      <c r="H217" s="98"/>
      <c r="I217" s="71">
        <v>0</v>
      </c>
      <c r="J217" s="71">
        <v>430</v>
      </c>
      <c r="K217" s="112">
        <f t="shared" si="13"/>
        <v>430</v>
      </c>
      <c r="L217" s="98"/>
      <c r="M217" s="213"/>
      <c r="N217" s="137"/>
      <c r="O217" s="118"/>
      <c r="P217" s="71">
        <v>430</v>
      </c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</row>
    <row r="218" spans="1:28" s="13" customFormat="1" ht="15.75" customHeight="1" hidden="1">
      <c r="A218" s="113">
        <v>5</v>
      </c>
      <c r="B218" s="98"/>
      <c r="C218" s="26" t="s">
        <v>263</v>
      </c>
      <c r="D218" s="179" t="s">
        <v>255</v>
      </c>
      <c r="E218" s="180">
        <v>0</v>
      </c>
      <c r="F218" s="180">
        <v>1</v>
      </c>
      <c r="G218" s="125"/>
      <c r="H218" s="98"/>
      <c r="I218" s="71">
        <v>0</v>
      </c>
      <c r="J218" s="71">
        <v>348.214</v>
      </c>
      <c r="K218" s="112">
        <f t="shared" si="13"/>
        <v>348.214</v>
      </c>
      <c r="L218" s="98"/>
      <c r="M218" s="213"/>
      <c r="N218" s="137"/>
      <c r="O218" s="118"/>
      <c r="P218" s="71">
        <v>348.214</v>
      </c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</row>
    <row r="219" spans="1:28" s="13" customFormat="1" ht="16.5" customHeight="1" hidden="1">
      <c r="A219" s="113">
        <v>6</v>
      </c>
      <c r="B219" s="98"/>
      <c r="C219" s="26" t="s">
        <v>263</v>
      </c>
      <c r="D219" s="179" t="s">
        <v>255</v>
      </c>
      <c r="E219" s="180">
        <v>0</v>
      </c>
      <c r="F219" s="180">
        <v>1</v>
      </c>
      <c r="G219" s="125"/>
      <c r="H219" s="98"/>
      <c r="I219" s="71">
        <v>0</v>
      </c>
      <c r="J219" s="71">
        <v>564.286</v>
      </c>
      <c r="K219" s="112">
        <f t="shared" si="13"/>
        <v>564.286</v>
      </c>
      <c r="L219" s="98"/>
      <c r="M219" s="213"/>
      <c r="N219" s="137"/>
      <c r="O219" s="118"/>
      <c r="P219" s="71">
        <v>564.286</v>
      </c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</row>
    <row r="220" spans="1:28" s="13" customFormat="1" ht="15.75" customHeight="1" hidden="1">
      <c r="A220" s="113">
        <v>7</v>
      </c>
      <c r="B220" s="98"/>
      <c r="C220" s="26" t="s">
        <v>263</v>
      </c>
      <c r="D220" s="179" t="s">
        <v>255</v>
      </c>
      <c r="E220" s="180">
        <v>0</v>
      </c>
      <c r="F220" s="180">
        <v>1</v>
      </c>
      <c r="G220" s="125"/>
      <c r="H220" s="98"/>
      <c r="I220" s="71">
        <v>0</v>
      </c>
      <c r="J220" s="71">
        <v>129.464</v>
      </c>
      <c r="K220" s="112">
        <f t="shared" si="13"/>
        <v>129.464</v>
      </c>
      <c r="L220" s="98"/>
      <c r="M220" s="213"/>
      <c r="N220" s="137"/>
      <c r="O220" s="118"/>
      <c r="P220" s="71">
        <v>129.464</v>
      </c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</row>
    <row r="221" spans="1:28" s="13" customFormat="1" ht="18" customHeight="1" hidden="1">
      <c r="A221" s="113">
        <v>8</v>
      </c>
      <c r="B221" s="98"/>
      <c r="C221" s="26" t="s">
        <v>263</v>
      </c>
      <c r="D221" s="179" t="s">
        <v>255</v>
      </c>
      <c r="E221" s="180">
        <v>0</v>
      </c>
      <c r="F221" s="180">
        <v>1</v>
      </c>
      <c r="G221" s="125"/>
      <c r="H221" s="98"/>
      <c r="I221" s="71">
        <v>0</v>
      </c>
      <c r="J221" s="71">
        <v>19.196</v>
      </c>
      <c r="K221" s="112">
        <f t="shared" si="13"/>
        <v>19.196</v>
      </c>
      <c r="L221" s="98"/>
      <c r="M221" s="213"/>
      <c r="N221" s="137"/>
      <c r="O221" s="118"/>
      <c r="P221" s="71">
        <v>19.196</v>
      </c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</row>
    <row r="222" spans="1:28" s="13" customFormat="1" ht="15" hidden="1">
      <c r="A222" s="113">
        <v>9</v>
      </c>
      <c r="B222" s="98"/>
      <c r="C222" s="26" t="s">
        <v>264</v>
      </c>
      <c r="D222" s="179" t="s">
        <v>255</v>
      </c>
      <c r="E222" s="180">
        <v>0</v>
      </c>
      <c r="F222" s="180">
        <v>1</v>
      </c>
      <c r="G222" s="125"/>
      <c r="H222" s="98"/>
      <c r="I222" s="71">
        <v>0</v>
      </c>
      <c r="J222" s="71">
        <v>350</v>
      </c>
      <c r="K222" s="112">
        <f t="shared" si="13"/>
        <v>350</v>
      </c>
      <c r="L222" s="98"/>
      <c r="M222" s="213"/>
      <c r="N222" s="137"/>
      <c r="O222" s="118"/>
      <c r="P222" s="71">
        <v>350</v>
      </c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</row>
    <row r="223" spans="1:28" s="13" customFormat="1" ht="15" hidden="1">
      <c r="A223" s="113">
        <v>10</v>
      </c>
      <c r="B223" s="98"/>
      <c r="C223" s="26" t="s">
        <v>265</v>
      </c>
      <c r="D223" s="179" t="s">
        <v>255</v>
      </c>
      <c r="E223" s="180">
        <v>0</v>
      </c>
      <c r="F223" s="180">
        <v>1</v>
      </c>
      <c r="G223" s="125"/>
      <c r="H223" s="98"/>
      <c r="I223" s="71">
        <v>0</v>
      </c>
      <c r="J223" s="71">
        <v>249</v>
      </c>
      <c r="K223" s="112">
        <f t="shared" si="13"/>
        <v>249</v>
      </c>
      <c r="L223" s="98"/>
      <c r="M223" s="213"/>
      <c r="N223" s="137"/>
      <c r="O223" s="118"/>
      <c r="P223" s="71">
        <v>249</v>
      </c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</row>
    <row r="224" spans="1:28" s="13" customFormat="1" ht="16.5" customHeight="1" hidden="1">
      <c r="A224" s="113">
        <v>11</v>
      </c>
      <c r="B224" s="98"/>
      <c r="C224" s="26" t="s">
        <v>263</v>
      </c>
      <c r="D224" s="179" t="s">
        <v>255</v>
      </c>
      <c r="E224" s="180">
        <v>0</v>
      </c>
      <c r="F224" s="180">
        <v>1</v>
      </c>
      <c r="G224" s="125"/>
      <c r="H224" s="98"/>
      <c r="I224" s="71">
        <v>0</v>
      </c>
      <c r="J224" s="71">
        <v>141.071</v>
      </c>
      <c r="K224" s="112">
        <f t="shared" si="13"/>
        <v>141.071</v>
      </c>
      <c r="L224" s="98"/>
      <c r="M224" s="213"/>
      <c r="N224" s="137"/>
      <c r="O224" s="118"/>
      <c r="P224" s="71">
        <v>141.071</v>
      </c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</row>
    <row r="225" spans="1:28" s="79" customFormat="1" ht="15">
      <c r="A225" s="114"/>
      <c r="B225" s="115"/>
      <c r="C225" s="116" t="s">
        <v>47</v>
      </c>
      <c r="D225" s="117"/>
      <c r="E225" s="116"/>
      <c r="F225" s="116"/>
      <c r="G225" s="112"/>
      <c r="H225" s="87">
        <v>-12692</v>
      </c>
      <c r="I225" s="75">
        <f>I60+I96+I103+I107+I108+I154+I172+I200</f>
        <v>574386.4778214286</v>
      </c>
      <c r="J225" s="75">
        <f>J60+J96+J103+J107+J108+J154+J213+J172+J200</f>
        <v>625423.8788214287</v>
      </c>
      <c r="K225" s="75">
        <f>K60+K96+K103+K107+K108+K154+K213+K172+K200</f>
        <v>51036.80700000008</v>
      </c>
      <c r="L225" s="87"/>
      <c r="M225" s="135">
        <f>M60+M103+M107+M108+M154+M213+M172+M200</f>
        <v>376743.537</v>
      </c>
      <c r="N225" s="135">
        <f>N96+N103+N107+N108+N154+N172+N200</f>
        <v>190645.65000000002</v>
      </c>
      <c r="O225" s="75">
        <f>O60+O96+O103+O107+O108+O154+O213+O172+O200</f>
        <v>334784.90800000005</v>
      </c>
      <c r="P225" s="75">
        <f>P60+P96+P103+P107+P108+P154+P213+P172+P200</f>
        <v>232604.30185714283</v>
      </c>
      <c r="Q225" s="75">
        <f>Q107</f>
        <v>32151.786</v>
      </c>
      <c r="R225" s="75">
        <f>R107</f>
        <v>25883.214</v>
      </c>
      <c r="S225" s="75"/>
      <c r="T225" s="114"/>
      <c r="U225" s="114"/>
      <c r="V225" s="114"/>
      <c r="W225" s="114"/>
      <c r="X225" s="114"/>
      <c r="Y225" s="114"/>
      <c r="Z225" s="114"/>
      <c r="AA225" s="114"/>
      <c r="AB225" s="114"/>
    </row>
    <row r="226" spans="1:28" ht="15">
      <c r="A226" s="52"/>
      <c r="B226" s="4"/>
      <c r="C226" s="132"/>
      <c r="D226" s="9"/>
      <c r="E226" s="9"/>
      <c r="F226" s="9"/>
      <c r="G226" s="126"/>
      <c r="H226" s="9"/>
      <c r="I226" s="10"/>
      <c r="J226" s="11"/>
      <c r="K226" s="11"/>
      <c r="L226" s="11"/>
      <c r="M226" s="204">
        <f>M225+N225</f>
        <v>567389.187</v>
      </c>
      <c r="N226" s="204"/>
      <c r="O226" s="2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2:22" ht="14.25">
      <c r="B227" s="1"/>
      <c r="D227" s="8"/>
      <c r="E227" s="8"/>
      <c r="F227" s="8"/>
      <c r="G227" s="120"/>
      <c r="H227" s="8"/>
      <c r="I227" s="8"/>
      <c r="J227" s="5"/>
      <c r="K227" s="55"/>
      <c r="L227" s="55"/>
      <c r="M227" s="205"/>
      <c r="N227" s="205"/>
      <c r="S227" s="55"/>
      <c r="T227" s="55"/>
      <c r="U227" s="55"/>
      <c r="V227" s="55"/>
    </row>
    <row r="228" spans="3:10" ht="15">
      <c r="C228" s="8"/>
      <c r="J228" s="60"/>
    </row>
    <row r="229" spans="10:18" ht="15">
      <c r="J229" s="58"/>
      <c r="K229" s="59"/>
      <c r="L229" s="57"/>
      <c r="M229" s="206"/>
      <c r="N229" s="206"/>
      <c r="O229" s="56"/>
      <c r="P229" s="56"/>
      <c r="Q229" s="56"/>
      <c r="R229" s="56"/>
    </row>
    <row r="230" spans="10:18" ht="15">
      <c r="J230" s="58"/>
      <c r="K230" s="58"/>
      <c r="L230" s="57"/>
      <c r="M230" s="206"/>
      <c r="N230" s="206"/>
      <c r="O230" s="57"/>
      <c r="P230" s="57"/>
      <c r="Q230" s="57"/>
      <c r="R230" s="57"/>
    </row>
    <row r="231" spans="10:18" ht="15">
      <c r="J231" s="58"/>
      <c r="K231" s="58"/>
      <c r="L231" s="57"/>
      <c r="M231" s="206"/>
      <c r="N231" s="206"/>
      <c r="O231" s="291"/>
      <c r="P231" s="291"/>
      <c r="Q231" s="57"/>
      <c r="R231" s="57"/>
    </row>
    <row r="233" spans="2:22" ht="14.25">
      <c r="B233" s="6"/>
      <c r="D233" s="14"/>
      <c r="E233" s="14"/>
      <c r="F233" s="14"/>
      <c r="G233" s="128"/>
      <c r="H233" s="8"/>
      <c r="I233" s="8"/>
      <c r="J233" s="8"/>
      <c r="K233" s="8"/>
      <c r="L233" s="8"/>
      <c r="M233" s="194"/>
      <c r="N233" s="194"/>
      <c r="O233" s="8"/>
      <c r="P233" s="8"/>
      <c r="Q233" s="8"/>
      <c r="R233" s="8"/>
      <c r="S233" s="8"/>
      <c r="T233" s="8"/>
      <c r="U233" s="8"/>
      <c r="V233" s="8"/>
    </row>
    <row r="234" spans="2:22" ht="14.25">
      <c r="B234" s="6"/>
      <c r="C234" s="14"/>
      <c r="D234" s="14"/>
      <c r="E234" s="14"/>
      <c r="F234" s="14"/>
      <c r="G234" s="128"/>
      <c r="H234" s="8"/>
      <c r="I234" s="8"/>
      <c r="J234" s="8"/>
      <c r="K234" s="8"/>
      <c r="L234" s="8"/>
      <c r="M234" s="207"/>
      <c r="N234" s="207"/>
      <c r="O234" s="8"/>
      <c r="P234" s="8"/>
      <c r="Q234" s="8"/>
      <c r="R234" s="8"/>
      <c r="S234" s="8"/>
      <c r="T234" s="8"/>
      <c r="U234" s="8"/>
      <c r="V234" s="8"/>
    </row>
    <row r="235" spans="2:22" ht="14.25">
      <c r="B235" s="7"/>
      <c r="C235" s="14"/>
      <c r="D235" s="15"/>
      <c r="E235" s="15"/>
      <c r="F235" s="15"/>
      <c r="G235" s="129"/>
      <c r="H235" s="8"/>
      <c r="I235" s="8"/>
      <c r="J235" s="8"/>
      <c r="K235" s="8"/>
      <c r="L235" s="8"/>
      <c r="M235" s="194"/>
      <c r="N235" s="194"/>
      <c r="O235" s="8"/>
      <c r="P235" s="8"/>
      <c r="Q235" s="8"/>
      <c r="R235" s="8"/>
      <c r="S235" s="8"/>
      <c r="T235" s="8"/>
      <c r="U235" s="8"/>
      <c r="V235" s="8"/>
    </row>
    <row r="236" ht="14.25">
      <c r="C236" s="15"/>
    </row>
  </sheetData>
  <sheetProtection/>
  <mergeCells count="40">
    <mergeCell ref="AA5:AA7"/>
    <mergeCell ref="L2:R2"/>
    <mergeCell ref="A4:AA4"/>
    <mergeCell ref="A5:A7"/>
    <mergeCell ref="B5:F5"/>
    <mergeCell ref="G5:G7"/>
    <mergeCell ref="O6:P6"/>
    <mergeCell ref="E6:F6"/>
    <mergeCell ref="D6:D7"/>
    <mergeCell ref="A3:AB3"/>
    <mergeCell ref="B9:B96"/>
    <mergeCell ref="W6:X6"/>
    <mergeCell ref="L6:L7"/>
    <mergeCell ref="O5:R5"/>
    <mergeCell ref="S6:T6"/>
    <mergeCell ref="B6:B7"/>
    <mergeCell ref="I5:L5"/>
    <mergeCell ref="U6:V6"/>
    <mergeCell ref="S5:Z5"/>
    <mergeCell ref="J6:J7"/>
    <mergeCell ref="O231:P231"/>
    <mergeCell ref="I6:I7"/>
    <mergeCell ref="Y6:Z6"/>
    <mergeCell ref="AB5:AB7"/>
    <mergeCell ref="C50:C51"/>
    <mergeCell ref="D50:D51"/>
    <mergeCell ref="E50:E51"/>
    <mergeCell ref="F50:F51"/>
    <mergeCell ref="I50:I51"/>
    <mergeCell ref="J50:J51"/>
    <mergeCell ref="G50:G51"/>
    <mergeCell ref="Q6:Q7"/>
    <mergeCell ref="C6:C7"/>
    <mergeCell ref="K6:K7"/>
    <mergeCell ref="H5:H7"/>
    <mergeCell ref="K50:K51"/>
    <mergeCell ref="H50:H51"/>
    <mergeCell ref="L50:L51"/>
    <mergeCell ref="O50:O51"/>
  </mergeCells>
  <printOptions/>
  <pageMargins left="0.7086614173228347" right="0.31496062992125984" top="0.5905511811023623" bottom="0.7874015748031497" header="0.31496062992125984" footer="0.31496062992125984"/>
  <pageSetup fitToHeight="3" fitToWidth="1" horizontalDpi="600" verticalDpi="600" orientation="landscape" paperSize="9" scale="38" r:id="rId1"/>
  <ignoredErrors>
    <ignoredError sqref="A98:A101 A105:A106 A62:A95 A10:A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2022-04-29T08:12:04Z</cp:lastPrinted>
  <dcterms:created xsi:type="dcterms:W3CDTF">2018-05-02T03:20:14Z</dcterms:created>
  <dcterms:modified xsi:type="dcterms:W3CDTF">2022-04-30T11:07:00Z</dcterms:modified>
  <cp:category/>
  <cp:version/>
  <cp:contentType/>
  <cp:contentStatus/>
</cp:coreProperties>
</file>